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M:\ARCIS BILLARD CLUB\POULESVIERGES\"/>
    </mc:Choice>
  </mc:AlternateContent>
  <bookViews>
    <workbookView xWindow="0" yWindow="0" windowWidth="28800" windowHeight="13020" tabRatio="739" activeTab="7"/>
  </bookViews>
  <sheets>
    <sheet name="INSCRIPTION DES JOUEURS" sheetId="5" r:id="rId1"/>
    <sheet name="FEUILLE DE RESULTATS" sheetId="6" r:id="rId2"/>
    <sheet name="CLASSEMENT FINAL" sheetId="7" r:id="rId3"/>
    <sheet name="RESULTAT FFBSPORTIF" sheetId="8" state="hidden" r:id="rId4"/>
    <sheet name="Calc Inscription Joueurs" sheetId="1" state="hidden" r:id="rId5"/>
    <sheet name="Calc Feuille de résultats" sheetId="3" state="hidden" r:id="rId6"/>
    <sheet name="Calc Class" sheetId="4" state="hidden" r:id="rId7"/>
    <sheet name="LISTE" sheetId="2" r:id="rId8"/>
  </sheets>
  <definedNames>
    <definedName name="BandeN3">LISTE!$M$2:$M$7</definedName>
    <definedName name="BandeR1">LISTE!$N$2:$N$18</definedName>
    <definedName name="BandeR2">LISTE!$O$2:$O$6</definedName>
    <definedName name="CadreN3">LISTE!$S$2:$S$13</definedName>
    <definedName name="CadreR1">LISTE!$T$2:$T$12</definedName>
    <definedName name="LibreN3">LISTE!$H$2:$H$8</definedName>
    <definedName name="LibreR1">LISTE!$I$2:$I$7</definedName>
    <definedName name="LibreR2">LISTE!$J$2:$J$15</definedName>
    <definedName name="LibreR3">LISTE!$K$2:$K$12</definedName>
    <definedName name="LibreR4">LISTE!$L$2:$L$9</definedName>
    <definedName name="listeCategorie">LISTE!$H$1:$T$1</definedName>
    <definedName name="listeClubs">LISTE!$B$2:$B$16</definedName>
    <definedName name="ListeJoueursPrevu">LISTE!$A$2:$A$9</definedName>
    <definedName name="ListePoule">'Calc Inscription Joueurs'!$H$8:$I$16</definedName>
    <definedName name="Poule">LISTE!$F$2:$F$5</definedName>
    <definedName name="TabBandeN3">LISTE!$M$2:$M$7</definedName>
    <definedName name="TabDistance">LISTE!$C$2:$D$14</definedName>
    <definedName name="TabLibreN3">LISTE!$H$2:$H$8</definedName>
    <definedName name="TabLibreR1">LISTE!$I$2:$I$7</definedName>
    <definedName name="TabLibreR2">LISTE!$J$2:$J$15</definedName>
    <definedName name="TroisBandesN3">LISTE!$P$2:$P$13</definedName>
    <definedName name="TroisBandesR1">LISTE!$Q$2:$Q$9</definedName>
    <definedName name="TroisBandesR2">LISTE!$R$2:$R$4</definedName>
  </definedNames>
  <calcPr calcId="162913"/>
</workbook>
</file>

<file path=xl/calcChain.xml><?xml version="1.0" encoding="utf-8"?>
<calcChain xmlns="http://schemas.openxmlformats.org/spreadsheetml/2006/main">
  <c r="AG12" i="5" l="1"/>
  <c r="AG13" i="5"/>
  <c r="AG14" i="5"/>
  <c r="AG15" i="5"/>
  <c r="AG4" i="5"/>
  <c r="AG5" i="5"/>
  <c r="AG6" i="5"/>
  <c r="AG7" i="5"/>
  <c r="AG8" i="5"/>
  <c r="AG9" i="5"/>
  <c r="AG10" i="5"/>
  <c r="AG11" i="5"/>
  <c r="AG3" i="5"/>
  <c r="G42" i="6"/>
  <c r="G41" i="6"/>
  <c r="G38" i="6"/>
  <c r="G37" i="6"/>
  <c r="G34" i="6"/>
  <c r="G33" i="6"/>
  <c r="G29" i="6"/>
  <c r="G28" i="6"/>
  <c r="G25" i="6"/>
  <c r="G24" i="6"/>
  <c r="G21" i="6"/>
  <c r="G20" i="6"/>
  <c r="G16" i="6"/>
  <c r="G15" i="6"/>
  <c r="G12" i="6"/>
  <c r="G11" i="6"/>
  <c r="G7" i="6"/>
  <c r="E42" i="6"/>
  <c r="E41" i="6"/>
  <c r="E38" i="6"/>
  <c r="E37" i="6"/>
  <c r="E34" i="6"/>
  <c r="E33" i="6"/>
  <c r="E29" i="6"/>
  <c r="E28" i="6"/>
  <c r="E25" i="6"/>
  <c r="E24" i="6"/>
  <c r="E21" i="6"/>
  <c r="E20" i="6"/>
  <c r="E16" i="6"/>
  <c r="E15" i="6"/>
  <c r="E12" i="6"/>
  <c r="E11" i="6"/>
  <c r="G8" i="6"/>
  <c r="E8" i="6"/>
  <c r="E7" i="6"/>
  <c r="K7" i="4"/>
  <c r="AQ19" i="4"/>
  <c r="AQ13" i="4"/>
  <c r="AQ7" i="4"/>
  <c r="AA19" i="4"/>
  <c r="AA13" i="4"/>
  <c r="AA7" i="4"/>
  <c r="K19" i="4"/>
  <c r="K13" i="4"/>
  <c r="BD11" i="5" l="1"/>
  <c r="AB7" i="3" l="1"/>
  <c r="D15" i="4" s="1"/>
  <c r="E25" i="3"/>
  <c r="D7" i="4" s="1"/>
  <c r="P25" i="3"/>
  <c r="D13" i="4" s="1"/>
  <c r="AB25" i="3"/>
  <c r="D19" i="4" s="1"/>
  <c r="AB16" i="3"/>
  <c r="D17" i="4" s="1"/>
  <c r="P16" i="3"/>
  <c r="D11" i="4" s="1"/>
  <c r="E16" i="3"/>
  <c r="E7" i="3"/>
  <c r="D3" i="4" s="1"/>
  <c r="P7" i="3"/>
  <c r="D9" i="4" s="1"/>
  <c r="AU42" i="6"/>
  <c r="AT42" i="6"/>
  <c r="AS42" i="6"/>
  <c r="AU41" i="6"/>
  <c r="AT41" i="6"/>
  <c r="AS41" i="6"/>
  <c r="AU38" i="6"/>
  <c r="AT38" i="6"/>
  <c r="AS38" i="6"/>
  <c r="AU37" i="6"/>
  <c r="AT37" i="6"/>
  <c r="AS37" i="6"/>
  <c r="AU34" i="6"/>
  <c r="AT34" i="6"/>
  <c r="AS34" i="6"/>
  <c r="AU33" i="6"/>
  <c r="AT33" i="6"/>
  <c r="AS33" i="6"/>
  <c r="AU29" i="6"/>
  <c r="AT29" i="6"/>
  <c r="AS29" i="6"/>
  <c r="AU28" i="6"/>
  <c r="AT28" i="6"/>
  <c r="AS28" i="6"/>
  <c r="AU25" i="6"/>
  <c r="AT25" i="6"/>
  <c r="AS25" i="6"/>
  <c r="AU24" i="6"/>
  <c r="AT24" i="6"/>
  <c r="AS24" i="6"/>
  <c r="AU21" i="6"/>
  <c r="AT21" i="6"/>
  <c r="AS21" i="6"/>
  <c r="AU20" i="6"/>
  <c r="AT20" i="6"/>
  <c r="AS20" i="6"/>
  <c r="AU16" i="6"/>
  <c r="AT16" i="6"/>
  <c r="AS16" i="6"/>
  <c r="AU15" i="6"/>
  <c r="AT15" i="6"/>
  <c r="AS15" i="6"/>
  <c r="AU12" i="6"/>
  <c r="AT12" i="6"/>
  <c r="AS12" i="6"/>
  <c r="AU11" i="6"/>
  <c r="AT11" i="6"/>
  <c r="AS11" i="6"/>
  <c r="AU8" i="6"/>
  <c r="AT8" i="6"/>
  <c r="AS8" i="6"/>
  <c r="AU7" i="6"/>
  <c r="AT7" i="6"/>
  <c r="AS7" i="6"/>
  <c r="AQ41" i="6"/>
  <c r="AQ37" i="6"/>
  <c r="AQ34" i="6"/>
  <c r="AQ33" i="6"/>
  <c r="AQ28" i="6"/>
  <c r="AQ24" i="6"/>
  <c r="AQ21" i="6"/>
  <c r="AQ20" i="6"/>
  <c r="AQ11" i="6"/>
  <c r="B42" i="6"/>
  <c r="AQ42" i="6" s="1"/>
  <c r="B38" i="6"/>
  <c r="AQ38" i="6" s="1"/>
  <c r="B29" i="6"/>
  <c r="AQ29" i="6" s="1"/>
  <c r="B25" i="6"/>
  <c r="AQ25" i="6" s="1"/>
  <c r="B16" i="6"/>
  <c r="AQ16" i="6" s="1"/>
  <c r="B12" i="6"/>
  <c r="AQ12" i="6" s="1"/>
  <c r="AQ7" i="6"/>
  <c r="D5" i="4" l="1"/>
  <c r="H33" i="2"/>
  <c r="H34" i="2" s="1"/>
  <c r="H3" i="7" l="1"/>
  <c r="H2" i="7"/>
  <c r="Q24" i="5" l="1"/>
  <c r="B29" i="5"/>
  <c r="B19" i="5"/>
  <c r="B24" i="5"/>
  <c r="V18" i="5"/>
  <c r="V19" i="5"/>
  <c r="V20" i="5"/>
  <c r="I22" i="5"/>
  <c r="V29" i="5"/>
  <c r="V30" i="5"/>
  <c r="C31" i="5" l="1"/>
  <c r="V28" i="5"/>
  <c r="V25" i="5"/>
  <c r="V24" i="5"/>
  <c r="V23" i="5"/>
  <c r="T30" i="5"/>
  <c r="T29" i="5"/>
  <c r="T28" i="5"/>
  <c r="T25" i="5"/>
  <c r="T24" i="5"/>
  <c r="T23" i="5"/>
  <c r="T19" i="5"/>
  <c r="T20" i="5"/>
  <c r="T18" i="5"/>
  <c r="O30" i="5"/>
  <c r="O29" i="5"/>
  <c r="O28" i="5"/>
  <c r="O25" i="5"/>
  <c r="O24" i="5"/>
  <c r="O23" i="5"/>
  <c r="O19" i="5"/>
  <c r="O20" i="5"/>
  <c r="O18" i="5"/>
  <c r="Q25" i="5"/>
  <c r="Q23" i="5"/>
  <c r="Q30" i="5"/>
  <c r="Q29" i="5"/>
  <c r="Q28" i="5"/>
  <c r="Q19" i="5"/>
  <c r="Q20" i="5"/>
  <c r="Q18" i="5"/>
  <c r="Q17" i="5"/>
  <c r="U8" i="5" l="1"/>
  <c r="P29" i="5"/>
  <c r="P25" i="5"/>
  <c r="P28" i="5"/>
  <c r="P30" i="5"/>
  <c r="P23" i="5"/>
  <c r="U19" i="5"/>
  <c r="U30" i="5"/>
  <c r="U23" i="5"/>
  <c r="U20" i="5"/>
  <c r="U24" i="5"/>
  <c r="U25" i="5"/>
  <c r="U28" i="5"/>
  <c r="U18" i="5"/>
  <c r="U29" i="5"/>
  <c r="P19" i="5"/>
  <c r="P24" i="5"/>
  <c r="P20" i="5"/>
  <c r="P18" i="5"/>
  <c r="I27" i="5"/>
  <c r="I17" i="5"/>
  <c r="Q36" i="5" l="1"/>
  <c r="D36" i="5" s="1"/>
  <c r="Q35" i="5"/>
  <c r="D35" i="5" s="1"/>
  <c r="Q38" i="5"/>
  <c r="D38" i="5" s="1"/>
  <c r="Q37" i="5"/>
  <c r="D37" i="5" s="1"/>
  <c r="Q34" i="5"/>
  <c r="U12" i="5"/>
  <c r="AL28" i="5"/>
  <c r="AP29" i="5"/>
  <c r="AP25" i="5"/>
  <c r="AP23" i="5"/>
  <c r="AP20" i="5"/>
  <c r="AL23" i="5"/>
  <c r="AN19" i="5"/>
  <c r="AL20" i="5"/>
  <c r="AN30" i="5"/>
  <c r="AP28" i="5"/>
  <c r="AL25" i="5"/>
  <c r="AL24" i="5"/>
  <c r="AL18" i="5"/>
  <c r="AL30" i="5"/>
  <c r="AP30" i="5"/>
  <c r="AL19" i="5"/>
  <c r="AN29" i="5"/>
  <c r="AN28" i="5"/>
  <c r="AN24" i="5"/>
  <c r="AN23" i="5"/>
  <c r="AL29" i="5"/>
  <c r="U17" i="5"/>
  <c r="V21" i="1"/>
  <c r="V25" i="1"/>
  <c r="X21" i="1"/>
  <c r="X25" i="1" s="1"/>
  <c r="Z21" i="1"/>
  <c r="Z25" i="1" s="1"/>
  <c r="AB21" i="1"/>
  <c r="AB25" i="1" s="1"/>
  <c r="AD21" i="1"/>
  <c r="AD25" i="1"/>
  <c r="AF21" i="1"/>
  <c r="AF25" i="1" s="1"/>
  <c r="AH21" i="1"/>
  <c r="AH25" i="1"/>
  <c r="AJ21" i="1"/>
  <c r="AJ25" i="1" s="1"/>
  <c r="AL21" i="1"/>
  <c r="AL25" i="1" s="1"/>
  <c r="AN21" i="1"/>
  <c r="AN25" i="1" s="1"/>
  <c r="AP21" i="1"/>
  <c r="AP25" i="1" s="1"/>
  <c r="AR21" i="1"/>
  <c r="AR25" i="1" s="1"/>
  <c r="AT21" i="1"/>
  <c r="AT25" i="1" s="1"/>
  <c r="AV21" i="1"/>
  <c r="AV25" i="1" s="1"/>
  <c r="AX21" i="1"/>
  <c r="AX25" i="1"/>
  <c r="AZ21" i="1"/>
  <c r="AZ25" i="1" s="1"/>
  <c r="BB21" i="1"/>
  <c r="BB25" i="1"/>
  <c r="BD21" i="1"/>
  <c r="BD25" i="1" s="1"/>
  <c r="BF21" i="1"/>
  <c r="BF25" i="1" s="1"/>
  <c r="BH21" i="1"/>
  <c r="BH25" i="1" s="1"/>
  <c r="BJ21" i="1"/>
  <c r="BJ25" i="1"/>
  <c r="BL21" i="1"/>
  <c r="BL25" i="1" s="1"/>
  <c r="BN21" i="1"/>
  <c r="BN25" i="1"/>
  <c r="BP21" i="1"/>
  <c r="BP25" i="1" s="1"/>
  <c r="BR21" i="1"/>
  <c r="BR25" i="1" s="1"/>
  <c r="BT21" i="1"/>
  <c r="BT25" i="1" s="1"/>
  <c r="BV21" i="1"/>
  <c r="BV25" i="1" s="1"/>
  <c r="BX21" i="1"/>
  <c r="BX25" i="1" s="1"/>
  <c r="BZ21" i="1"/>
  <c r="BZ25" i="1" s="1"/>
  <c r="CB21" i="1"/>
  <c r="CB25" i="1" s="1"/>
  <c r="CD21" i="1"/>
  <c r="CD25" i="1"/>
  <c r="CF21" i="1"/>
  <c r="CF25" i="1" s="1"/>
  <c r="CH21" i="1"/>
  <c r="CH25" i="1"/>
  <c r="CJ21" i="1"/>
  <c r="CJ25" i="1" s="1"/>
  <c r="CL21" i="1"/>
  <c r="CL25" i="1" s="1"/>
  <c r="CN21" i="1"/>
  <c r="CN25" i="1" s="1"/>
  <c r="CP21" i="1"/>
  <c r="CP25" i="1"/>
  <c r="CR21" i="1"/>
  <c r="CR25" i="1" s="1"/>
  <c r="CT21" i="1"/>
  <c r="CT25" i="1"/>
  <c r="CV21" i="1"/>
  <c r="CV25" i="1" s="1"/>
  <c r="CX21" i="1"/>
  <c r="CX25" i="1" s="1"/>
  <c r="CZ21" i="1"/>
  <c r="CZ25" i="1" s="1"/>
  <c r="DB21" i="1"/>
  <c r="DB25" i="1" s="1"/>
  <c r="DD21" i="1"/>
  <c r="DD25" i="1" s="1"/>
  <c r="DF21" i="1"/>
  <c r="DF25" i="1" s="1"/>
  <c r="DH21" i="1"/>
  <c r="DH25" i="1" s="1"/>
  <c r="DJ21" i="1"/>
  <c r="DJ25" i="1"/>
  <c r="DL21" i="1"/>
  <c r="DL25" i="1" s="1"/>
  <c r="DN21" i="1"/>
  <c r="DN25" i="1"/>
  <c r="V35" i="1"/>
  <c r="X35" i="1"/>
  <c r="Z35" i="1"/>
  <c r="AB35" i="1"/>
  <c r="AD35" i="1"/>
  <c r="AF35" i="1"/>
  <c r="AH35" i="1"/>
  <c r="AJ35" i="1"/>
  <c r="AL35" i="1"/>
  <c r="AN35" i="1"/>
  <c r="AP35" i="1"/>
  <c r="AR35" i="1"/>
  <c r="AT35" i="1"/>
  <c r="AV35" i="1"/>
  <c r="AX35" i="1"/>
  <c r="AZ35" i="1"/>
  <c r="BB35" i="1"/>
  <c r="BD35" i="1"/>
  <c r="BF35" i="1"/>
  <c r="BH35" i="1"/>
  <c r="BJ35" i="1"/>
  <c r="BL35" i="1"/>
  <c r="BN35" i="1"/>
  <c r="BP35" i="1"/>
  <c r="BR35" i="1"/>
  <c r="BT35" i="1"/>
  <c r="BV35" i="1"/>
  <c r="BX35" i="1"/>
  <c r="BZ35" i="1"/>
  <c r="CB35" i="1"/>
  <c r="CD35" i="1"/>
  <c r="CF35" i="1"/>
  <c r="CH35" i="1"/>
  <c r="CJ35" i="1"/>
  <c r="CL35" i="1"/>
  <c r="CN35" i="1"/>
  <c r="CP35" i="1"/>
  <c r="CR35" i="1"/>
  <c r="CT35" i="1"/>
  <c r="CV35" i="1"/>
  <c r="CX35" i="1"/>
  <c r="CZ35" i="1"/>
  <c r="DB35" i="1"/>
  <c r="DD35" i="1"/>
  <c r="DF35" i="1"/>
  <c r="DH35" i="1"/>
  <c r="DJ35" i="1"/>
  <c r="DL35" i="1"/>
  <c r="DN35" i="1"/>
  <c r="J28" i="1"/>
  <c r="L28" i="1" s="1"/>
  <c r="M28" i="1" s="1"/>
  <c r="J26" i="1"/>
  <c r="L26" i="1" s="1"/>
  <c r="M26" i="1" s="1"/>
  <c r="J27" i="1"/>
  <c r="L27" i="1" s="1"/>
  <c r="M27" i="1" s="1"/>
  <c r="J29" i="1"/>
  <c r="L29" i="1" s="1"/>
  <c r="M29" i="1" s="1"/>
  <c r="J30" i="1"/>
  <c r="L30" i="1" s="1"/>
  <c r="M30" i="1" s="1"/>
  <c r="J31" i="1"/>
  <c r="L31" i="1" s="1"/>
  <c r="M31" i="1" s="1"/>
  <c r="J32" i="1"/>
  <c r="L32" i="1" s="1"/>
  <c r="M32" i="1" s="1"/>
  <c r="J33" i="1"/>
  <c r="L33" i="1" s="1"/>
  <c r="M33" i="1" s="1"/>
  <c r="J34" i="1"/>
  <c r="L34" i="1" s="1"/>
  <c r="M34" i="1" s="1"/>
  <c r="R32" i="1"/>
  <c r="R33" i="1"/>
  <c r="R34" i="1"/>
  <c r="Q37" i="6"/>
  <c r="Q35" i="6"/>
  <c r="Q32" i="6"/>
  <c r="Q30" i="6"/>
  <c r="AO9" i="3"/>
  <c r="AO8" i="3"/>
  <c r="AO7" i="3"/>
  <c r="AO6" i="3"/>
  <c r="Z4" i="1"/>
  <c r="Z5" i="1"/>
  <c r="Z6" i="1"/>
  <c r="Z7" i="1"/>
  <c r="AA4" i="1"/>
  <c r="P4" i="6" s="1"/>
  <c r="AA5" i="1"/>
  <c r="AA6" i="1"/>
  <c r="AA7" i="1"/>
  <c r="Z8" i="1"/>
  <c r="AA8" i="1"/>
  <c r="Z9" i="1"/>
  <c r="AA9" i="1"/>
  <c r="Z10" i="1"/>
  <c r="AA10" i="1"/>
  <c r="Z11" i="1"/>
  <c r="AA11" i="1"/>
  <c r="Z12" i="1"/>
  <c r="AA12" i="1"/>
  <c r="Z13" i="1"/>
  <c r="AA13" i="1"/>
  <c r="Z14" i="1"/>
  <c r="AA14" i="1"/>
  <c r="Z15" i="1"/>
  <c r="AA15" i="1"/>
  <c r="Z16" i="1"/>
  <c r="AA16" i="1"/>
  <c r="H3" i="1"/>
  <c r="AK7" i="3" s="1"/>
  <c r="AJ1" i="3" s="1"/>
  <c r="I3" i="1"/>
  <c r="AL7" i="3" s="1"/>
  <c r="AL21" i="3" s="1"/>
  <c r="U3" i="1"/>
  <c r="AM7" i="3" s="1"/>
  <c r="AM5" i="3" s="1"/>
  <c r="AA6" i="3"/>
  <c r="AD6" i="3" s="1"/>
  <c r="AA7" i="3"/>
  <c r="AD7" i="3" s="1"/>
  <c r="S52" i="6"/>
  <c r="S50" i="6"/>
  <c r="S47" i="6"/>
  <c r="S45" i="6"/>
  <c r="R52" i="6"/>
  <c r="R50" i="6"/>
  <c r="D35" i="6"/>
  <c r="R45" i="6"/>
  <c r="Q52" i="6"/>
  <c r="Q50" i="6"/>
  <c r="Q47" i="6"/>
  <c r="Q45" i="6"/>
  <c r="X3" i="2"/>
  <c r="X4" i="2"/>
  <c r="X5" i="2"/>
  <c r="X6" i="2"/>
  <c r="X7" i="2"/>
  <c r="X10" i="2"/>
  <c r="X11" i="2"/>
  <c r="X12" i="2"/>
  <c r="X13" i="2"/>
  <c r="X14" i="2"/>
  <c r="X15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4" i="2"/>
  <c r="X35" i="2"/>
  <c r="X36" i="2"/>
  <c r="X37" i="2"/>
  <c r="X38" i="2"/>
  <c r="X39" i="2"/>
  <c r="X40" i="2"/>
  <c r="X41" i="2"/>
  <c r="X42" i="2"/>
  <c r="X43" i="2"/>
  <c r="X44" i="2"/>
  <c r="X47" i="2"/>
  <c r="X48" i="2"/>
  <c r="X49" i="2"/>
  <c r="X50" i="2"/>
  <c r="X51" i="2"/>
  <c r="X52" i="2"/>
  <c r="X53" i="2"/>
  <c r="X54" i="2"/>
  <c r="X60" i="2"/>
  <c r="X61" i="2"/>
  <c r="X62" i="2"/>
  <c r="X63" i="2"/>
  <c r="X64" i="2"/>
  <c r="X65" i="2"/>
  <c r="X68" i="2"/>
  <c r="X69" i="2"/>
  <c r="X70" i="2"/>
  <c r="X71" i="2"/>
  <c r="X72" i="2"/>
  <c r="X73" i="2"/>
  <c r="X74" i="2"/>
  <c r="X75" i="2"/>
  <c r="X76" i="2"/>
  <c r="X77" i="2"/>
  <c r="X78" i="2"/>
  <c r="X79" i="2"/>
  <c r="X82" i="2"/>
  <c r="X83" i="2"/>
  <c r="X84" i="2"/>
  <c r="X85" i="2"/>
  <c r="X86" i="2"/>
  <c r="X92" i="2"/>
  <c r="X93" i="2"/>
  <c r="X94" i="2"/>
  <c r="X95" i="2"/>
  <c r="X96" i="2"/>
  <c r="X97" i="2"/>
  <c r="X98" i="2"/>
  <c r="X99" i="2"/>
  <c r="X100" i="2"/>
  <c r="X101" i="2"/>
  <c r="X102" i="2"/>
  <c r="X103" i="2"/>
  <c r="X106" i="2"/>
  <c r="X107" i="2"/>
  <c r="X108" i="2"/>
  <c r="X109" i="2"/>
  <c r="X110" i="2"/>
  <c r="X113" i="2"/>
  <c r="X114" i="2"/>
  <c r="X115" i="2"/>
  <c r="X121" i="2"/>
  <c r="X122" i="2"/>
  <c r="X123" i="2"/>
  <c r="X124" i="2"/>
  <c r="X125" i="2"/>
  <c r="X126" i="2"/>
  <c r="X127" i="2"/>
  <c r="X128" i="2"/>
  <c r="X129" i="2"/>
  <c r="X132" i="2"/>
  <c r="X133" i="2"/>
  <c r="X134" i="2"/>
  <c r="X135" i="2"/>
  <c r="X136" i="2"/>
  <c r="X137" i="2"/>
  <c r="X138" i="2"/>
  <c r="X139" i="2"/>
  <c r="X140" i="2"/>
  <c r="X141" i="2"/>
  <c r="X142" i="2"/>
  <c r="X143" i="2"/>
  <c r="X144" i="2"/>
  <c r="X145" i="2"/>
  <c r="X146" i="2"/>
  <c r="X152" i="2"/>
  <c r="X153" i="2"/>
  <c r="X154" i="2"/>
  <c r="X155" i="2"/>
  <c r="X156" i="2"/>
  <c r="X162" i="2"/>
  <c r="X163" i="2"/>
  <c r="X164" i="2"/>
  <c r="X165" i="2"/>
  <c r="F6" i="3"/>
  <c r="K6" i="3" s="1"/>
  <c r="D6" i="3"/>
  <c r="G6" i="3" s="1"/>
  <c r="D7" i="3"/>
  <c r="G7" i="3" s="1"/>
  <c r="E15" i="3"/>
  <c r="AB6" i="3"/>
  <c r="AC6" i="3"/>
  <c r="AC7" i="3"/>
  <c r="AA15" i="3"/>
  <c r="AB15" i="3"/>
  <c r="AC15" i="3"/>
  <c r="E16" i="4" s="1"/>
  <c r="AA16" i="3"/>
  <c r="AC16" i="3"/>
  <c r="E17" i="4" s="1"/>
  <c r="AA24" i="3"/>
  <c r="AD24" i="3" s="1"/>
  <c r="AB24" i="3"/>
  <c r="AC24" i="3"/>
  <c r="E18" i="4" s="1"/>
  <c r="AA25" i="3"/>
  <c r="AC25" i="3"/>
  <c r="E19" i="4" s="1"/>
  <c r="D15" i="3"/>
  <c r="D16" i="3"/>
  <c r="E6" i="3"/>
  <c r="F15" i="3"/>
  <c r="F7" i="3"/>
  <c r="O7" i="3"/>
  <c r="R7" i="3" s="1"/>
  <c r="O6" i="3"/>
  <c r="R6" i="3" s="1"/>
  <c r="F16" i="3"/>
  <c r="D24" i="3"/>
  <c r="E24" i="3"/>
  <c r="F24" i="3"/>
  <c r="E6" i="4" s="1"/>
  <c r="D25" i="3"/>
  <c r="F25" i="3"/>
  <c r="E7" i="4" s="1"/>
  <c r="P6" i="3"/>
  <c r="Q6" i="3"/>
  <c r="V6" i="3" s="1"/>
  <c r="Q7" i="3"/>
  <c r="E9" i="4" s="1"/>
  <c r="O15" i="3"/>
  <c r="P15" i="3"/>
  <c r="Q15" i="3"/>
  <c r="E10" i="4" s="1"/>
  <c r="O16" i="3"/>
  <c r="Q16" i="3"/>
  <c r="E11" i="4" s="1"/>
  <c r="O24" i="3"/>
  <c r="P24" i="3"/>
  <c r="Q24" i="3"/>
  <c r="O25" i="3"/>
  <c r="Q25" i="3"/>
  <c r="AD22" i="6"/>
  <c r="AD23" i="6"/>
  <c r="AD31" i="6"/>
  <c r="AD32" i="6"/>
  <c r="AE31" i="6"/>
  <c r="AF31" i="6"/>
  <c r="AF32" i="6"/>
  <c r="AD13" i="6"/>
  <c r="AE13" i="6"/>
  <c r="AF13" i="6"/>
  <c r="AF14" i="6"/>
  <c r="AD14" i="6"/>
  <c r="AE22" i="6"/>
  <c r="AF22" i="6"/>
  <c r="AE32" i="6"/>
  <c r="AF23" i="6"/>
  <c r="AF29" i="6"/>
  <c r="AD29" i="6"/>
  <c r="AF28" i="6"/>
  <c r="AE28" i="6"/>
  <c r="AD28" i="6"/>
  <c r="AF20" i="6"/>
  <c r="AD20" i="6"/>
  <c r="AF19" i="6"/>
  <c r="AE19" i="6"/>
  <c r="AD19" i="6"/>
  <c r="AF26" i="6"/>
  <c r="AD26" i="6"/>
  <c r="AF25" i="6"/>
  <c r="AE25" i="6"/>
  <c r="AD25" i="6"/>
  <c r="AF17" i="6"/>
  <c r="AD17" i="6"/>
  <c r="AF16" i="6"/>
  <c r="AE16" i="6"/>
  <c r="AD16" i="6"/>
  <c r="AF11" i="6"/>
  <c r="AD11" i="6"/>
  <c r="AF10" i="6"/>
  <c r="AE10" i="6"/>
  <c r="AD10" i="6"/>
  <c r="AD7" i="6"/>
  <c r="AE7" i="6"/>
  <c r="AF7" i="6"/>
  <c r="AD8" i="6"/>
  <c r="AF8" i="6"/>
  <c r="C9" i="8"/>
  <c r="E9" i="8"/>
  <c r="R12" i="6"/>
  <c r="F9" i="8" s="1"/>
  <c r="V9" i="2"/>
  <c r="Q15" i="6"/>
  <c r="Q17" i="6"/>
  <c r="Q20" i="6"/>
  <c r="Q22" i="6"/>
  <c r="Y18" i="6"/>
  <c r="N18" i="6" s="1"/>
  <c r="Y23" i="6"/>
  <c r="N23" i="6" s="1"/>
  <c r="Y28" i="6"/>
  <c r="N28" i="6" s="1"/>
  <c r="Y33" i="6"/>
  <c r="N33" i="6" s="1"/>
  <c r="Y38" i="6"/>
  <c r="N38" i="6" s="1"/>
  <c r="Y43" i="6"/>
  <c r="N43" i="6" s="1"/>
  <c r="Y48" i="6"/>
  <c r="N48" i="6" s="1"/>
  <c r="Y53" i="6"/>
  <c r="N53" i="6" s="1"/>
  <c r="S37" i="6"/>
  <c r="S35" i="6"/>
  <c r="R35" i="6"/>
  <c r="S32" i="6"/>
  <c r="S30" i="6"/>
  <c r="R30" i="6"/>
  <c r="I10" i="1"/>
  <c r="I11" i="1"/>
  <c r="AE17" i="6"/>
  <c r="R17" i="6"/>
  <c r="S22" i="6"/>
  <c r="R20" i="6"/>
  <c r="S20" i="6"/>
  <c r="S17" i="6"/>
  <c r="R15" i="6"/>
  <c r="S15" i="6"/>
  <c r="C2" i="2"/>
  <c r="C25" i="1"/>
  <c r="C5" i="1" s="1"/>
  <c r="C24" i="1"/>
  <c r="C4" i="1" s="1"/>
  <c r="C5" i="6" s="1"/>
  <c r="C10" i="6"/>
  <c r="AR10" i="6" s="1"/>
  <c r="C6" i="6"/>
  <c r="AR6" i="6" s="1"/>
  <c r="C23" i="1"/>
  <c r="C3" i="1" s="1"/>
  <c r="C22" i="1"/>
  <c r="C2" i="1" s="1"/>
  <c r="K43" i="4"/>
  <c r="AC43" i="4" s="1"/>
  <c r="AC24" i="4"/>
  <c r="I15" i="1"/>
  <c r="A29" i="1"/>
  <c r="A32" i="1"/>
  <c r="A26" i="1"/>
  <c r="Y16" i="1"/>
  <c r="Y15" i="1"/>
  <c r="Y14" i="1"/>
  <c r="Y13" i="1"/>
  <c r="Y12" i="1"/>
  <c r="Y11" i="1"/>
  <c r="Y10" i="1"/>
  <c r="Y9" i="1"/>
  <c r="Y8" i="1"/>
  <c r="Y5" i="1"/>
  <c r="Y6" i="1"/>
  <c r="Y7" i="1"/>
  <c r="Y4" i="1"/>
  <c r="C14" i="2"/>
  <c r="C13" i="2"/>
  <c r="C12" i="2"/>
  <c r="C11" i="2"/>
  <c r="C10" i="2"/>
  <c r="C9" i="2"/>
  <c r="C8" i="2"/>
  <c r="C7" i="2"/>
  <c r="C6" i="2"/>
  <c r="C5" i="2"/>
  <c r="C4" i="2"/>
  <c r="C3" i="2"/>
  <c r="C16" i="4" l="1"/>
  <c r="AD15" i="3"/>
  <c r="C19" i="4"/>
  <c r="AD25" i="3"/>
  <c r="C12" i="4"/>
  <c r="S6" i="4" s="1"/>
  <c r="AI18" i="4" s="1"/>
  <c r="R24" i="3"/>
  <c r="C17" i="4"/>
  <c r="AD16" i="3"/>
  <c r="C13" i="4"/>
  <c r="R25" i="3"/>
  <c r="C7" i="4"/>
  <c r="G25" i="3"/>
  <c r="C6" i="4"/>
  <c r="S18" i="4" s="1"/>
  <c r="AI12" i="4" s="1"/>
  <c r="G24" i="3"/>
  <c r="C11" i="4"/>
  <c r="R16" i="3"/>
  <c r="C5" i="4"/>
  <c r="S17" i="4" s="1"/>
  <c r="AI11" i="4" s="1"/>
  <c r="G16" i="3"/>
  <c r="C4" i="4"/>
  <c r="S16" i="4" s="1"/>
  <c r="AI10" i="4" s="1"/>
  <c r="G15" i="3"/>
  <c r="C10" i="4"/>
  <c r="S4" i="4" s="1"/>
  <c r="AI16" i="4" s="1"/>
  <c r="R15" i="3"/>
  <c r="I6" i="3"/>
  <c r="I12" i="1"/>
  <c r="K35" i="4"/>
  <c r="AC35" i="4" s="1"/>
  <c r="I9" i="1"/>
  <c r="E13" i="4"/>
  <c r="U7" i="4" s="1"/>
  <c r="AK19" i="4" s="1"/>
  <c r="V25" i="3"/>
  <c r="E12" i="4"/>
  <c r="U6" i="4" s="1"/>
  <c r="AK18" i="4" s="1"/>
  <c r="V24" i="3"/>
  <c r="E5" i="4"/>
  <c r="U17" i="4" s="1"/>
  <c r="AK11" i="4" s="1"/>
  <c r="K16" i="3"/>
  <c r="K15" i="3"/>
  <c r="E4" i="4"/>
  <c r="U16" i="4" s="1"/>
  <c r="AK10" i="4" s="1"/>
  <c r="I16" i="1"/>
  <c r="K39" i="4"/>
  <c r="AC39" i="4" s="1"/>
  <c r="I14" i="1"/>
  <c r="I13" i="1"/>
  <c r="I8" i="1"/>
  <c r="K7" i="3"/>
  <c r="E14" i="4"/>
  <c r="U8" i="4" s="1"/>
  <c r="AK2" i="4" s="1"/>
  <c r="AR2" i="4" s="1"/>
  <c r="AH6" i="3"/>
  <c r="D4" i="4"/>
  <c r="T16" i="4" s="1"/>
  <c r="AJ10" i="4" s="1"/>
  <c r="J16" i="3"/>
  <c r="AF7" i="3"/>
  <c r="AI7" i="3" s="1"/>
  <c r="E15" i="4"/>
  <c r="U9" i="4" s="1"/>
  <c r="AK3" i="4" s="1"/>
  <c r="AR8" i="4" s="1"/>
  <c r="AH7" i="3"/>
  <c r="D18" i="4"/>
  <c r="T12" i="4" s="1"/>
  <c r="AJ6" i="4" s="1"/>
  <c r="AG25" i="3"/>
  <c r="AF24" i="3"/>
  <c r="C18" i="4"/>
  <c r="S12" i="4" s="1"/>
  <c r="AI6" i="4" s="1"/>
  <c r="D16" i="4"/>
  <c r="T10" i="4" s="1"/>
  <c r="AJ4" i="4" s="1"/>
  <c r="AG16" i="3"/>
  <c r="D14" i="4"/>
  <c r="T8" i="4" s="1"/>
  <c r="AJ2" i="4" s="1"/>
  <c r="U25" i="3"/>
  <c r="D12" i="4"/>
  <c r="T6" i="4" s="1"/>
  <c r="AJ18" i="4" s="1"/>
  <c r="D10" i="4"/>
  <c r="T4" i="4" s="1"/>
  <c r="AJ16" i="4" s="1"/>
  <c r="U16" i="3"/>
  <c r="V7" i="3"/>
  <c r="E8" i="4"/>
  <c r="U2" i="4" s="1"/>
  <c r="U7" i="3"/>
  <c r="W7" i="3" s="1"/>
  <c r="U6" i="3"/>
  <c r="D8" i="4"/>
  <c r="T2" i="4" s="1"/>
  <c r="T6" i="3"/>
  <c r="T7" i="3"/>
  <c r="D6" i="4"/>
  <c r="T18" i="4" s="1"/>
  <c r="AJ12" i="4" s="1"/>
  <c r="J25" i="3"/>
  <c r="J7" i="3"/>
  <c r="J6" i="3"/>
  <c r="I7" i="3"/>
  <c r="U12" i="4"/>
  <c r="AK6" i="4" s="1"/>
  <c r="AH24" i="3"/>
  <c r="AG24" i="3"/>
  <c r="U13" i="4"/>
  <c r="AK7" i="4" s="1"/>
  <c r="AH25" i="3"/>
  <c r="S13" i="4"/>
  <c r="AI7" i="4" s="1"/>
  <c r="AF25" i="3"/>
  <c r="AI25" i="3" s="1"/>
  <c r="T25" i="3"/>
  <c r="W25" i="3" s="1"/>
  <c r="U24" i="3"/>
  <c r="T24" i="3"/>
  <c r="W24" i="3" s="1"/>
  <c r="U19" i="4"/>
  <c r="AK13" i="4" s="1"/>
  <c r="K25" i="3"/>
  <c r="S19" i="4"/>
  <c r="AI13" i="4" s="1"/>
  <c r="I25" i="3"/>
  <c r="J24" i="3"/>
  <c r="U18" i="4"/>
  <c r="AK12" i="4" s="1"/>
  <c r="K24" i="3"/>
  <c r="I24" i="3"/>
  <c r="U11" i="4"/>
  <c r="AK5" i="4" s="1"/>
  <c r="AH16" i="3"/>
  <c r="AF16" i="3"/>
  <c r="AI16" i="3" s="1"/>
  <c r="AG15" i="3"/>
  <c r="U10" i="4"/>
  <c r="AK4" i="4" s="1"/>
  <c r="AH15" i="3"/>
  <c r="S10" i="4"/>
  <c r="AI4" i="4" s="1"/>
  <c r="AF15" i="3"/>
  <c r="U5" i="4"/>
  <c r="AK17" i="4" s="1"/>
  <c r="V16" i="3"/>
  <c r="S5" i="4"/>
  <c r="AI17" i="4" s="1"/>
  <c r="T16" i="3"/>
  <c r="U4" i="4"/>
  <c r="AK16" i="4" s="1"/>
  <c r="V15" i="3"/>
  <c r="U15" i="3"/>
  <c r="V37" i="6"/>
  <c r="T15" i="3"/>
  <c r="I16" i="3"/>
  <c r="J15" i="3"/>
  <c r="I15" i="3"/>
  <c r="AF6" i="3"/>
  <c r="C15" i="4"/>
  <c r="S9" i="4" s="1"/>
  <c r="AI3" i="4" s="1"/>
  <c r="AP8" i="4" s="1"/>
  <c r="D2" i="4"/>
  <c r="K2" i="4" s="1"/>
  <c r="C3" i="4"/>
  <c r="S15" i="4" s="1"/>
  <c r="AI9" i="4" s="1"/>
  <c r="U3" i="4"/>
  <c r="E2" i="4"/>
  <c r="L2" i="4" s="1"/>
  <c r="C14" i="4"/>
  <c r="S8" i="4" s="1"/>
  <c r="AI2" i="4" s="1"/>
  <c r="AP2" i="4" s="1"/>
  <c r="C9" i="4"/>
  <c r="S3" i="4" s="1"/>
  <c r="AI15" i="4" s="1"/>
  <c r="E3" i="4"/>
  <c r="U15" i="4" s="1"/>
  <c r="AK9" i="4" s="1"/>
  <c r="AM26" i="3"/>
  <c r="AJ3" i="3"/>
  <c r="AM21" i="3"/>
  <c r="AK21" i="3"/>
  <c r="AK26" i="3"/>
  <c r="AL5" i="3"/>
  <c r="AJ2" i="3"/>
  <c r="AL26" i="3"/>
  <c r="AK5" i="3"/>
  <c r="S11" i="4"/>
  <c r="AI5" i="4" s="1"/>
  <c r="U9" i="5"/>
  <c r="V47" i="6"/>
  <c r="V17" i="6"/>
  <c r="V15" i="6"/>
  <c r="V45" i="6"/>
  <c r="D34" i="5"/>
  <c r="V52" i="6"/>
  <c r="AE23" i="6"/>
  <c r="V50" i="6"/>
  <c r="D39" i="6"/>
  <c r="R47" i="6"/>
  <c r="AE14" i="6"/>
  <c r="AE29" i="6"/>
  <c r="V35" i="6"/>
  <c r="R37" i="6"/>
  <c r="AE20" i="6"/>
  <c r="V32" i="6"/>
  <c r="C8" i="4"/>
  <c r="S2" i="4" s="1"/>
  <c r="AE26" i="6"/>
  <c r="R22" i="6"/>
  <c r="AE8" i="6"/>
  <c r="C2" i="4"/>
  <c r="J2" i="4" s="1"/>
  <c r="D9" i="6"/>
  <c r="D13" i="6" s="1"/>
  <c r="R32" i="6"/>
  <c r="D22" i="6"/>
  <c r="D26" i="6" s="1"/>
  <c r="AE11" i="6"/>
  <c r="S7" i="4"/>
  <c r="AI19" i="4" s="1"/>
  <c r="AQ28" i="5"/>
  <c r="AG28" i="5" s="1"/>
  <c r="AQ25" i="5"/>
  <c r="AQ24" i="5"/>
  <c r="AQ19" i="5"/>
  <c r="AQ30" i="5"/>
  <c r="AG30" i="5" s="1"/>
  <c r="AQ29" i="5"/>
  <c r="AG29" i="5" s="1"/>
  <c r="AQ23" i="5"/>
  <c r="AG23" i="5" s="1"/>
  <c r="AQ20" i="5"/>
  <c r="AQ18" i="5"/>
  <c r="V22" i="6"/>
  <c r="V30" i="6"/>
  <c r="V20" i="6"/>
  <c r="C4" i="3"/>
  <c r="C13" i="3" s="1"/>
  <c r="P27" i="1"/>
  <c r="Q27" i="1" s="1"/>
  <c r="P30" i="1"/>
  <c r="Q30" i="1" s="1"/>
  <c r="P28" i="1"/>
  <c r="Q28" i="1" s="1"/>
  <c r="P31" i="1"/>
  <c r="Q31" i="1" s="1"/>
  <c r="P33" i="1"/>
  <c r="Q33" i="1" s="1"/>
  <c r="P32" i="1"/>
  <c r="Q32" i="1" s="1"/>
  <c r="P26" i="1"/>
  <c r="Q26" i="1" s="1"/>
  <c r="P29" i="1"/>
  <c r="Q29" i="1" s="1"/>
  <c r="P34" i="1"/>
  <c r="Q34" i="1" s="1"/>
  <c r="L25" i="3" l="1"/>
  <c r="H7" i="4" s="1"/>
  <c r="X19" i="4" s="1"/>
  <c r="AN13" i="4" s="1"/>
  <c r="L24" i="3"/>
  <c r="H6" i="4" s="1"/>
  <c r="X18" i="4" s="1"/>
  <c r="AN12" i="4" s="1"/>
  <c r="W16" i="3"/>
  <c r="H11" i="4" s="1"/>
  <c r="X5" i="4" s="1"/>
  <c r="AN17" i="4" s="1"/>
  <c r="W15" i="3"/>
  <c r="H10" i="4" s="1"/>
  <c r="X4" i="4" s="1"/>
  <c r="AN16" i="4" s="1"/>
  <c r="L15" i="3"/>
  <c r="H4" i="4" s="1"/>
  <c r="X16" i="4" s="1"/>
  <c r="AN10" i="4" s="1"/>
  <c r="L7" i="3"/>
  <c r="H3" i="4" s="1"/>
  <c r="O8" i="4" s="1"/>
  <c r="J12" i="4" s="1"/>
  <c r="W6" i="3"/>
  <c r="H8" i="4" s="1"/>
  <c r="X2" i="4" s="1"/>
  <c r="AN14" i="4" s="1"/>
  <c r="AI6" i="3"/>
  <c r="AI24" i="3"/>
  <c r="H18" i="4" s="1"/>
  <c r="X12" i="4" s="1"/>
  <c r="AN6" i="4" s="1"/>
  <c r="AI15" i="3"/>
  <c r="H16" i="4" s="1"/>
  <c r="X10" i="4" s="1"/>
  <c r="AN4" i="4" s="1"/>
  <c r="L16" i="3"/>
  <c r="H5" i="4" s="1"/>
  <c r="X17" i="4" s="1"/>
  <c r="AN11" i="4" s="1"/>
  <c r="L6" i="3"/>
  <c r="H2" i="4" s="1"/>
  <c r="X14" i="4" s="1"/>
  <c r="AN8" i="4" s="1"/>
  <c r="L8" i="4"/>
  <c r="H17" i="4"/>
  <c r="X11" i="4" s="1"/>
  <c r="AN5" i="4" s="1"/>
  <c r="J8" i="4"/>
  <c r="H13" i="4"/>
  <c r="X7" i="4" s="1"/>
  <c r="AN19" i="4" s="1"/>
  <c r="H9" i="4"/>
  <c r="X3" i="4" s="1"/>
  <c r="AN15" i="4" s="1"/>
  <c r="U14" i="4"/>
  <c r="AK8" i="4" s="1"/>
  <c r="F19" i="4"/>
  <c r="AE24" i="3"/>
  <c r="G18" i="4" s="1"/>
  <c r="F18" i="4"/>
  <c r="AE25" i="3"/>
  <c r="G19" i="4" s="1"/>
  <c r="AE15" i="3"/>
  <c r="G16" i="4" s="1"/>
  <c r="F17" i="4"/>
  <c r="AE16" i="3"/>
  <c r="G17" i="4" s="1"/>
  <c r="F16" i="4"/>
  <c r="AQ2" i="4"/>
  <c r="F14" i="4"/>
  <c r="AE7" i="3"/>
  <c r="G15" i="4" s="1"/>
  <c r="F13" i="4"/>
  <c r="S24" i="3"/>
  <c r="G12" i="4" s="1"/>
  <c r="S25" i="3"/>
  <c r="G13" i="4" s="1"/>
  <c r="F12" i="4"/>
  <c r="F11" i="4"/>
  <c r="S15" i="3"/>
  <c r="G10" i="4" s="1"/>
  <c r="F10" i="4"/>
  <c r="S16" i="3"/>
  <c r="G11" i="4" s="1"/>
  <c r="S7" i="3"/>
  <c r="G9" i="4" s="1"/>
  <c r="F8" i="4"/>
  <c r="V2" i="4" s="1"/>
  <c r="AL14" i="4" s="1"/>
  <c r="F7" i="4"/>
  <c r="H24" i="3"/>
  <c r="G6" i="4" s="1"/>
  <c r="H25" i="3"/>
  <c r="G7" i="4" s="1"/>
  <c r="F6" i="4"/>
  <c r="H15" i="3"/>
  <c r="G4" i="4" s="1"/>
  <c r="W16" i="4" s="1"/>
  <c r="AM10" i="4" s="1"/>
  <c r="F5" i="4"/>
  <c r="V17" i="4" s="1"/>
  <c r="AL11" i="4" s="1"/>
  <c r="F4" i="4"/>
  <c r="V16" i="4" s="1"/>
  <c r="AL10" i="4" s="1"/>
  <c r="H16" i="3"/>
  <c r="G5" i="4" s="1"/>
  <c r="W17" i="4" s="1"/>
  <c r="AM11" i="4" s="1"/>
  <c r="H19" i="4"/>
  <c r="X13" i="4" s="1"/>
  <c r="AN7" i="4" s="1"/>
  <c r="H12" i="4"/>
  <c r="X6" i="4" s="1"/>
  <c r="AN18" i="4" s="1"/>
  <c r="AJ14" i="4"/>
  <c r="AA2" i="4"/>
  <c r="AK14" i="4"/>
  <c r="AB2" i="4"/>
  <c r="AB8" i="4"/>
  <c r="AK15" i="4"/>
  <c r="T14" i="4"/>
  <c r="AJ8" i="4" s="1"/>
  <c r="F2" i="4"/>
  <c r="V14" i="4" s="1"/>
  <c r="AL8" i="4" s="1"/>
  <c r="H7" i="3"/>
  <c r="G3" i="4" s="1"/>
  <c r="N8" i="4" s="1"/>
  <c r="D61" i="4" s="1"/>
  <c r="T17" i="4"/>
  <c r="AJ11" i="4" s="1"/>
  <c r="Z8" i="4"/>
  <c r="I23" i="5"/>
  <c r="C29" i="1" s="1"/>
  <c r="G29" i="1" s="1"/>
  <c r="F29" i="1" s="1"/>
  <c r="I29" i="5"/>
  <c r="C33" i="1" s="1"/>
  <c r="G33" i="1" s="1"/>
  <c r="F33" i="1" s="1"/>
  <c r="I30" i="5"/>
  <c r="C34" i="1" s="1"/>
  <c r="G34" i="1" s="1"/>
  <c r="F34" i="1" s="1"/>
  <c r="I28" i="5"/>
  <c r="C32" i="1" s="1"/>
  <c r="AQ8" i="6"/>
  <c r="P12" i="6"/>
  <c r="D9" i="8" s="1"/>
  <c r="T15" i="4"/>
  <c r="AJ9" i="4" s="1"/>
  <c r="F39" i="5"/>
  <c r="F38" i="5" s="1"/>
  <c r="U10" i="5" s="1"/>
  <c r="C34" i="5"/>
  <c r="AI14" i="4"/>
  <c r="Z2" i="4"/>
  <c r="S14" i="4"/>
  <c r="AI8" i="4" s="1"/>
  <c r="N4" i="3"/>
  <c r="O2" i="4" l="1"/>
  <c r="J6" i="4" s="1"/>
  <c r="AE2" i="4"/>
  <c r="AE8" i="4"/>
  <c r="Z12" i="4" s="1"/>
  <c r="X15" i="4"/>
  <c r="AN9" i="4" s="1"/>
  <c r="M2" i="4"/>
  <c r="C60" i="4" s="1"/>
  <c r="AC2" i="4"/>
  <c r="F3" i="4"/>
  <c r="H6" i="3"/>
  <c r="G2" i="4" s="1"/>
  <c r="N2" i="4" s="1"/>
  <c r="D60" i="4" s="1"/>
  <c r="T60" i="4" s="1"/>
  <c r="D32" i="1"/>
  <c r="G32" i="1"/>
  <c r="F32" i="1" s="1"/>
  <c r="D33" i="1"/>
  <c r="W15" i="4"/>
  <c r="AM9" i="4" s="1"/>
  <c r="K8" i="4"/>
  <c r="T61" i="4" s="1"/>
  <c r="AN25" i="5"/>
  <c r="AN18" i="5"/>
  <c r="AN20" i="5"/>
  <c r="AP19" i="5"/>
  <c r="AG19" i="5" s="1"/>
  <c r="AP24" i="5"/>
  <c r="AG24" i="5" s="1"/>
  <c r="AP18" i="5"/>
  <c r="AG18" i="5" l="1"/>
  <c r="I18" i="5" s="1"/>
  <c r="C26" i="1" s="1"/>
  <c r="E62" i="4"/>
  <c r="U62" i="4" s="1"/>
  <c r="Z6" i="4"/>
  <c r="AG20" i="5"/>
  <c r="I20" i="5" s="1"/>
  <c r="C28" i="1" s="1"/>
  <c r="G28" i="1" s="1"/>
  <c r="F28" i="1" s="1"/>
  <c r="AG25" i="5"/>
  <c r="I25" i="5" s="1"/>
  <c r="C31" i="1" s="1"/>
  <c r="G31" i="1" s="1"/>
  <c r="F31" i="1" s="1"/>
  <c r="E60" i="4"/>
  <c r="U60" i="4" s="1"/>
  <c r="E63" i="4"/>
  <c r="U63" i="4" s="1"/>
  <c r="E61" i="4"/>
  <c r="U61" i="4" s="1"/>
  <c r="C62" i="4"/>
  <c r="H60" i="4"/>
  <c r="W60" i="4" s="1"/>
  <c r="S60" i="4"/>
  <c r="M8" i="4"/>
  <c r="C61" i="4" s="1"/>
  <c r="V15" i="4"/>
  <c r="AL9" i="4" s="1"/>
  <c r="W14" i="4"/>
  <c r="AM8" i="4" s="1"/>
  <c r="I24" i="5"/>
  <c r="C30" i="1" s="1"/>
  <c r="I19" i="5"/>
  <c r="C27" i="1" s="1"/>
  <c r="G27" i="1" s="1"/>
  <c r="F27" i="1" s="1"/>
  <c r="A33" i="1"/>
  <c r="S62" i="4" l="1"/>
  <c r="S61" i="4"/>
  <c r="H61" i="4"/>
  <c r="W61" i="4" s="1"/>
  <c r="D30" i="1"/>
  <c r="G30" i="1"/>
  <c r="F30" i="1" s="1"/>
  <c r="D29" i="1"/>
  <c r="G26" i="1"/>
  <c r="F26" i="1" s="1"/>
  <c r="D26" i="1"/>
  <c r="D27" i="1"/>
  <c r="A30" i="1" l="1"/>
  <c r="A27" i="1"/>
  <c r="H33" i="1"/>
  <c r="H32" i="1"/>
  <c r="H34" i="1"/>
  <c r="H26" i="1"/>
  <c r="H29" i="1"/>
  <c r="H28" i="1"/>
  <c r="H31" i="1"/>
  <c r="H27" i="1"/>
  <c r="H30" i="1"/>
  <c r="A23" i="1" l="1"/>
  <c r="G25" i="1" s="1"/>
  <c r="A22" i="1"/>
  <c r="K32" i="1"/>
  <c r="AJ7" i="1"/>
  <c r="I32" i="1"/>
  <c r="K33" i="1"/>
  <c r="AJ8" i="1"/>
  <c r="I33" i="1"/>
  <c r="AJ6" i="1"/>
  <c r="I31" i="1"/>
  <c r="K31" i="1"/>
  <c r="AJ2" i="1"/>
  <c r="I27" i="1"/>
  <c r="K27" i="1"/>
  <c r="AJ4" i="1"/>
  <c r="I29" i="1"/>
  <c r="K29" i="1"/>
  <c r="I26" i="1"/>
  <c r="K26" i="1"/>
  <c r="AJ1" i="1"/>
  <c r="I34" i="1"/>
  <c r="AJ9" i="1"/>
  <c r="K34" i="1"/>
  <c r="I28" i="1"/>
  <c r="K28" i="1"/>
  <c r="AJ3" i="1"/>
  <c r="AJ5" i="1"/>
  <c r="K30" i="1"/>
  <c r="I30" i="1"/>
  <c r="S24" i="1" l="1"/>
  <c r="S27" i="1" s="1"/>
  <c r="AK8" i="1"/>
  <c r="N33" i="1"/>
  <c r="AK7" i="1"/>
  <c r="N32" i="1"/>
  <c r="N28" i="1"/>
  <c r="AK3" i="1"/>
  <c r="N29" i="1"/>
  <c r="AK4" i="1"/>
  <c r="AK9" i="1"/>
  <c r="N34" i="1"/>
  <c r="N27" i="1"/>
  <c r="AK2" i="1"/>
  <c r="BJ26" i="1"/>
  <c r="BB27" i="1"/>
  <c r="CN27" i="1"/>
  <c r="BD33" i="1"/>
  <c r="BV33" i="1"/>
  <c r="CD29" i="1"/>
  <c r="Z26" i="1"/>
  <c r="AZ34" i="1"/>
  <c r="CT32" i="1"/>
  <c r="AZ31" i="1"/>
  <c r="AP27" i="1"/>
  <c r="AV29" i="1"/>
  <c r="AP33" i="1"/>
  <c r="CT31" i="1"/>
  <c r="DN29" i="1"/>
  <c r="AP28" i="1"/>
  <c r="CF26" i="1"/>
  <c r="AT30" i="1"/>
  <c r="CN34" i="1"/>
  <c r="AL27" i="1"/>
  <c r="DB28" i="1"/>
  <c r="CT33" i="1"/>
  <c r="BL32" i="1"/>
  <c r="CX26" i="1"/>
  <c r="BR28" i="1"/>
  <c r="CH28" i="1"/>
  <c r="BJ31" i="1"/>
  <c r="BN28" i="1"/>
  <c r="BT26" i="1"/>
  <c r="DH34" i="1"/>
  <c r="AF31" i="1"/>
  <c r="CJ29" i="1"/>
  <c r="CV31" i="1"/>
  <c r="BF26" i="1"/>
  <c r="DN33" i="1"/>
  <c r="AZ32" i="1"/>
  <c r="CF30" i="1"/>
  <c r="AL29" i="1"/>
  <c r="BX32" i="1"/>
  <c r="DB26" i="1"/>
  <c r="BJ34" i="1"/>
  <c r="BV32" i="1"/>
  <c r="AP29" i="1"/>
  <c r="AR28" i="1"/>
  <c r="AT32" i="1"/>
  <c r="BF27" i="1"/>
  <c r="AD29" i="1"/>
  <c r="CP33" i="1"/>
  <c r="DN34" i="1"/>
  <c r="AZ33" i="1"/>
  <c r="CN31" i="1"/>
  <c r="AX30" i="1"/>
  <c r="AD26" i="1"/>
  <c r="AJ28" i="1"/>
  <c r="AR31" i="1"/>
  <c r="BL26" i="1"/>
  <c r="AH33" i="1"/>
  <c r="BX33" i="1"/>
  <c r="AL26" i="1"/>
  <c r="CX34" i="1"/>
  <c r="AL32" i="1"/>
  <c r="BD32" i="1"/>
  <c r="CH34" i="1"/>
  <c r="DL32" i="1"/>
  <c r="BB31" i="1"/>
  <c r="DJ29" i="1"/>
  <c r="CP26" i="1"/>
  <c r="CB31" i="1"/>
  <c r="CX31" i="1"/>
  <c r="BD30" i="1"/>
  <c r="BJ28" i="1"/>
  <c r="CH26" i="1"/>
  <c r="DF32" i="1"/>
  <c r="CN28" i="1"/>
  <c r="BX26" i="1"/>
  <c r="DH29" i="1"/>
  <c r="DL33" i="1"/>
  <c r="BN32" i="1"/>
  <c r="DJ30" i="1"/>
  <c r="DD32" i="1"/>
  <c r="BZ28" i="1"/>
  <c r="Z30" i="1"/>
  <c r="AB30" i="1"/>
  <c r="DJ26" i="1"/>
  <c r="DJ34" i="1"/>
  <c r="CB33" i="1"/>
  <c r="CL29" i="1"/>
  <c r="AX27" i="1"/>
  <c r="AN34" i="1"/>
  <c r="Z34" i="1"/>
  <c r="CH32" i="1"/>
  <c r="CX30" i="1"/>
  <c r="AN29" i="1"/>
  <c r="CB27" i="1"/>
  <c r="AD31" i="1"/>
  <c r="DL28" i="1"/>
  <c r="CZ34" i="1"/>
  <c r="AB31" i="1"/>
  <c r="CB29" i="1"/>
  <c r="CF27" i="1"/>
  <c r="CB34" i="1"/>
  <c r="CR30" i="1"/>
  <c r="BB30" i="1"/>
  <c r="AN33" i="1"/>
  <c r="E40" i="1"/>
  <c r="CH33" i="1"/>
  <c r="DL31" i="1"/>
  <c r="AZ30" i="1"/>
  <c r="CT28" i="1"/>
  <c r="AR32" i="1"/>
  <c r="CB26" i="1"/>
  <c r="BL28" i="1"/>
  <c r="AN32" i="1"/>
  <c r="CR32" i="1"/>
  <c r="CJ33" i="1"/>
  <c r="AN28" i="1"/>
  <c r="CJ26" i="1"/>
  <c r="DB32" i="1"/>
  <c r="DD28" i="1"/>
  <c r="DH32" i="1"/>
  <c r="CJ31" i="1"/>
  <c r="CL31" i="1"/>
  <c r="AP32" i="1"/>
  <c r="DF33" i="1"/>
  <c r="AJ33" i="1"/>
  <c r="BX34" i="1"/>
  <c r="CL34" i="1"/>
  <c r="BB33" i="1"/>
  <c r="BX31" i="1"/>
  <c r="DL29" i="1"/>
  <c r="BF28" i="1"/>
  <c r="CZ31" i="1"/>
  <c r="CZ32" i="1"/>
  <c r="BH30" i="1"/>
  <c r="CZ28" i="1"/>
  <c r="DF26" i="1"/>
  <c r="DH26" i="1"/>
  <c r="BP31" i="1"/>
  <c r="AB26" i="1"/>
  <c r="BL29" i="1"/>
  <c r="BB34" i="1"/>
  <c r="CF32" i="1"/>
  <c r="DL30" i="1"/>
  <c r="BV29" i="1"/>
  <c r="BN31" i="1"/>
  <c r="DD31" i="1"/>
  <c r="BJ33" i="1"/>
  <c r="BT28" i="1"/>
  <c r="CP27" i="1"/>
  <c r="CD33" i="1"/>
  <c r="AV32" i="1"/>
  <c r="AL28" i="1"/>
  <c r="AJ30" i="1"/>
  <c r="DD34" i="1"/>
  <c r="CL32" i="1"/>
  <c r="AN31" i="1"/>
  <c r="BH29" i="1"/>
  <c r="CD27" i="1"/>
  <c r="AF26" i="1"/>
  <c r="CH29" i="1"/>
  <c r="BH27" i="1"/>
  <c r="DL26" i="1"/>
  <c r="CF29" i="1"/>
  <c r="AD28" i="1"/>
  <c r="AJ26" i="1"/>
  <c r="AV33" i="1"/>
  <c r="BB29" i="1"/>
  <c r="DJ32" i="1"/>
  <c r="BV30" i="1"/>
  <c r="CL33" i="1"/>
  <c r="BB32" i="1"/>
  <c r="BR30" i="1"/>
  <c r="CV28" i="1"/>
  <c r="AT27" i="1"/>
  <c r="CP30" i="1"/>
  <c r="DL27" i="1"/>
  <c r="BV27" i="1"/>
  <c r="BD31" i="1"/>
  <c r="AH27" i="1"/>
  <c r="AN26" i="1"/>
  <c r="CR27" i="1"/>
  <c r="CD30" i="1"/>
  <c r="CH30" i="1"/>
  <c r="BT32" i="1"/>
  <c r="BR26" i="1"/>
  <c r="CJ30" i="1"/>
  <c r="CN30" i="1"/>
  <c r="AB34" i="1"/>
  <c r="BF30" i="1"/>
  <c r="BF33" i="1"/>
  <c r="DN31" i="1"/>
  <c r="AL30" i="1"/>
  <c r="BH28" i="1"/>
  <c r="CZ26" i="1"/>
  <c r="BJ30" i="1"/>
  <c r="BD34" i="1"/>
  <c r="DF28" i="1"/>
  <c r="AZ27" i="1"/>
  <c r="BR27" i="1"/>
  <c r="DH33" i="1"/>
  <c r="AF30" i="1"/>
  <c r="BV31" i="1"/>
  <c r="BF34" i="1"/>
  <c r="DN32" i="1"/>
  <c r="AL31" i="1"/>
  <c r="BX29" i="1"/>
  <c r="BN26" i="1"/>
  <c r="AD30" i="1"/>
  <c r="AT34" i="1"/>
  <c r="DN26" i="1"/>
  <c r="CV33" i="1"/>
  <c r="AX32" i="1"/>
  <c r="CT30" i="1"/>
  <c r="CD26" i="1"/>
  <c r="AV34" i="1"/>
  <c r="AJ27" i="1"/>
  <c r="AT31" i="1"/>
  <c r="CV29" i="1"/>
  <c r="CZ27" i="1"/>
  <c r="AH26" i="1"/>
  <c r="BJ32" i="1"/>
  <c r="BX27" i="1"/>
  <c r="AH29" i="1"/>
  <c r="AP31" i="1"/>
  <c r="AH28" i="1"/>
  <c r="BV26" i="1"/>
  <c r="CD34" i="1"/>
  <c r="DF31" i="1"/>
  <c r="CT27" i="1"/>
  <c r="AD27" i="1"/>
  <c r="AT33" i="1"/>
  <c r="BF32" i="1"/>
  <c r="CZ30" i="1"/>
  <c r="Z29" i="1"/>
  <c r="AV27" i="1"/>
  <c r="AZ29" i="1"/>
  <c r="CR26" i="1"/>
  <c r="CF31" i="1"/>
  <c r="BD28" i="1"/>
  <c r="AB28" i="1"/>
  <c r="CJ34" i="1"/>
  <c r="DB33" i="1"/>
  <c r="BH26" i="1"/>
  <c r="E37" i="1"/>
  <c r="AT29" i="1"/>
  <c r="DB34" i="1"/>
  <c r="CL30" i="1"/>
  <c r="Z32" i="1"/>
  <c r="BT30" i="1"/>
  <c r="CD28" i="1"/>
  <c r="DD26" i="1"/>
  <c r="AD33" i="1"/>
  <c r="DJ28" i="1"/>
  <c r="DB29" i="1"/>
  <c r="BD27" i="1"/>
  <c r="CP29" i="1"/>
  <c r="DJ33" i="1"/>
  <c r="CB32" i="1"/>
  <c r="BX28" i="1"/>
  <c r="BT31" i="1"/>
  <c r="Z33" i="1"/>
  <c r="BZ31" i="1"/>
  <c r="CT29" i="1"/>
  <c r="Z28" i="1"/>
  <c r="CP32" i="1"/>
  <c r="BV28" i="1"/>
  <c r="BZ33" i="1"/>
  <c r="DH28" i="1"/>
  <c r="CJ28" i="1"/>
  <c r="BP32" i="1"/>
  <c r="CV30" i="1"/>
  <c r="BD29" i="1"/>
  <c r="CN32" i="1"/>
  <c r="AB27" i="1"/>
  <c r="BP28" i="1"/>
  <c r="CZ29" i="1"/>
  <c r="AV28" i="1"/>
  <c r="BB26" i="1"/>
  <c r="CR34" i="1"/>
  <c r="DH30" i="1"/>
  <c r="CJ27" i="1"/>
  <c r="AP30" i="1"/>
  <c r="BH33" i="1"/>
  <c r="BZ26" i="1"/>
  <c r="CV34" i="1"/>
  <c r="AX33" i="1"/>
  <c r="BN30" i="1"/>
  <c r="AV26" i="1"/>
  <c r="AH30" i="1"/>
  <c r="BH34" i="1"/>
  <c r="DD30" i="1"/>
  <c r="BJ29" i="1"/>
  <c r="BN27" i="1"/>
  <c r="AR29" i="1"/>
  <c r="AD32" i="1"/>
  <c r="AN27" i="1"/>
  <c r="AH34" i="1"/>
  <c r="AH32" i="1"/>
  <c r="BT27" i="1"/>
  <c r="AX29" i="1"/>
  <c r="Z31" i="1"/>
  <c r="BR33" i="1"/>
  <c r="BT33" i="1"/>
  <c r="BX30" i="1"/>
  <c r="AB29" i="1"/>
  <c r="AF27" i="1"/>
  <c r="AR27" i="1"/>
  <c r="CH31" i="1"/>
  <c r="AT26" i="1"/>
  <c r="AF28" i="1"/>
  <c r="CP31" i="1"/>
  <c r="AJ34" i="1"/>
  <c r="CD32" i="1"/>
  <c r="AH31" i="1"/>
  <c r="Z27" i="1"/>
  <c r="DH31" i="1"/>
  <c r="CD31" i="1"/>
  <c r="AN30" i="1"/>
  <c r="AT28" i="1"/>
  <c r="BP26" i="1"/>
  <c r="AX31" i="1"/>
  <c r="DB31" i="1"/>
  <c r="BT34" i="1"/>
  <c r="DF27" i="1"/>
  <c r="AL34" i="1"/>
  <c r="DN30" i="1"/>
  <c r="BF29" i="1"/>
  <c r="CV27" i="1"/>
  <c r="AV31" i="1"/>
  <c r="BZ30" i="1"/>
  <c r="CJ32" i="1"/>
  <c r="AZ28" i="1"/>
  <c r="CN26" i="1"/>
  <c r="CT34" i="1"/>
  <c r="BL33" i="1"/>
  <c r="BT29" i="1"/>
  <c r="BR29" i="1"/>
  <c r="DF34" i="1"/>
  <c r="AR34" i="1"/>
  <c r="E43" i="1"/>
  <c r="BP33" i="1"/>
  <c r="DJ31" i="1"/>
  <c r="DN28" i="1"/>
  <c r="BH32" i="1"/>
  <c r="BL30" i="1"/>
  <c r="BR31" i="1"/>
  <c r="BN29" i="1"/>
  <c r="DD27" i="1"/>
  <c r="BL31" i="1"/>
  <c r="BL34" i="1"/>
  <c r="CB30" i="1"/>
  <c r="BB28" i="1"/>
  <c r="AX28" i="1"/>
  <c r="CR28" i="1"/>
  <c r="BV34" i="1"/>
  <c r="CR29" i="1"/>
  <c r="CL28" i="1"/>
  <c r="CR33" i="1"/>
  <c r="BF31" i="1"/>
  <c r="BZ32" i="1"/>
  <c r="CF33" i="1"/>
  <c r="BR32" i="1"/>
  <c r="BP29" i="1"/>
  <c r="BZ27" i="1"/>
  <c r="CH27" i="1"/>
  <c r="AP26" i="1"/>
  <c r="CR31" i="1"/>
  <c r="CP34" i="1"/>
  <c r="AF29" i="1"/>
  <c r="BP27" i="1"/>
  <c r="CP28" i="1"/>
  <c r="AF34" i="1"/>
  <c r="AV30" i="1"/>
  <c r="AR33" i="1"/>
  <c r="DB30" i="1"/>
  <c r="BR34" i="1"/>
  <c r="CV32" i="1"/>
  <c r="AJ31" i="1"/>
  <c r="CN29" i="1"/>
  <c r="AB33" i="1"/>
  <c r="BH31" i="1"/>
  <c r="AR30" i="1"/>
  <c r="CF28" i="1"/>
  <c r="CL26" i="1"/>
  <c r="AR26" i="1"/>
  <c r="DF29" i="1"/>
  <c r="CX28" i="1"/>
  <c r="BZ34" i="1"/>
  <c r="AP34" i="1"/>
  <c r="CX32" i="1"/>
  <c r="BZ29" i="1"/>
  <c r="CX27" i="1"/>
  <c r="AX26" i="1"/>
  <c r="DD29" i="1"/>
  <c r="CL27" i="1"/>
  <c r="CZ33" i="1"/>
  <c r="CT26" i="1"/>
  <c r="DL34" i="1"/>
  <c r="BN33" i="1"/>
  <c r="AF32" i="1"/>
  <c r="DN27" i="1"/>
  <c r="CB28" i="1"/>
  <c r="AD34" i="1"/>
  <c r="DB27" i="1"/>
  <c r="CX33" i="1"/>
  <c r="AJ32" i="1"/>
  <c r="BP30" i="1"/>
  <c r="BJ27" i="1"/>
  <c r="DF30" i="1"/>
  <c r="AB32" i="1"/>
  <c r="CX29" i="1"/>
  <c r="DJ27" i="1"/>
  <c r="BD26" i="1"/>
  <c r="BN34" i="1"/>
  <c r="AF33" i="1"/>
  <c r="AJ29" i="1"/>
  <c r="CV26" i="1"/>
  <c r="BP34" i="1"/>
  <c r="AL33" i="1"/>
  <c r="DD33" i="1"/>
  <c r="AX34" i="1"/>
  <c r="AZ26" i="1"/>
  <c r="DH27" i="1"/>
  <c r="CN33" i="1"/>
  <c r="BL27" i="1"/>
  <c r="CF34" i="1"/>
  <c r="N26" i="1"/>
  <c r="AK1" i="1"/>
  <c r="AK6" i="1"/>
  <c r="N31" i="1"/>
  <c r="AK5" i="1"/>
  <c r="N30" i="1"/>
  <c r="S31" i="1" l="1"/>
  <c r="R31" i="1" s="1"/>
  <c r="S26" i="1"/>
  <c r="R26" i="1" s="1"/>
  <c r="S28" i="1"/>
  <c r="R28" i="1" s="1"/>
  <c r="S30" i="1"/>
  <c r="R30" i="1" s="1"/>
  <c r="R27" i="1"/>
  <c r="S29" i="1"/>
  <c r="R29" i="1" s="1"/>
  <c r="X31" i="1" l="1"/>
  <c r="I41" i="1" s="1"/>
  <c r="C11" i="1" s="1"/>
  <c r="I6" i="1" s="1"/>
  <c r="H13" i="1" s="1"/>
  <c r="X28" i="1"/>
  <c r="I38" i="1" s="1"/>
  <c r="C8" i="1" s="1"/>
  <c r="H6" i="1" s="1"/>
  <c r="AK10" i="3" s="1"/>
  <c r="X27" i="1"/>
  <c r="I37" i="1" s="1"/>
  <c r="C7" i="1" s="1"/>
  <c r="H5" i="1" s="1"/>
  <c r="H9" i="1" s="1"/>
  <c r="X26" i="1"/>
  <c r="I36" i="1" s="1"/>
  <c r="C6" i="1" s="1"/>
  <c r="H4" i="1" s="1"/>
  <c r="AK8" i="3" s="1"/>
  <c r="X32" i="1"/>
  <c r="I42" i="1" s="1"/>
  <c r="C12" i="1" s="1"/>
  <c r="U4" i="1" s="1"/>
  <c r="AM8" i="3" s="1"/>
  <c r="X30" i="1"/>
  <c r="I40" i="1" s="1"/>
  <c r="C10" i="1" s="1"/>
  <c r="I5" i="1" s="1"/>
  <c r="B39" i="4" s="1"/>
  <c r="R39" i="4" s="1"/>
  <c r="X34" i="1"/>
  <c r="I44" i="1" s="1"/>
  <c r="C14" i="1" s="1"/>
  <c r="U6" i="1" s="1"/>
  <c r="AM10" i="3" s="1"/>
  <c r="X29" i="1"/>
  <c r="I39" i="1" s="1"/>
  <c r="C9" i="1" s="1"/>
  <c r="X33" i="1"/>
  <c r="I43" i="1" s="1"/>
  <c r="C13" i="1" s="1"/>
  <c r="U5" i="1" s="1"/>
  <c r="B43" i="4" s="1"/>
  <c r="R43" i="4" s="1"/>
  <c r="AL10" i="3" l="1"/>
  <c r="B40" i="4"/>
  <c r="R40" i="4" s="1"/>
  <c r="B44" i="4"/>
  <c r="R44" i="4" s="1"/>
  <c r="H16" i="1"/>
  <c r="D9" i="1"/>
  <c r="B36" i="4"/>
  <c r="R36" i="4" s="1"/>
  <c r="H10" i="1"/>
  <c r="AL9" i="3"/>
  <c r="H8" i="1"/>
  <c r="B34" i="4"/>
  <c r="R34" i="4" s="1"/>
  <c r="H12" i="1"/>
  <c r="I4" i="1"/>
  <c r="H11" i="1" s="1"/>
  <c r="D12" i="1"/>
  <c r="D7" i="1"/>
  <c r="H14" i="1"/>
  <c r="B42" i="4"/>
  <c r="R42" i="4" s="1"/>
  <c r="D6" i="1"/>
  <c r="AK9" i="3"/>
  <c r="B35" i="4"/>
  <c r="R35" i="4" s="1"/>
  <c r="D10" i="1"/>
  <c r="D13" i="1"/>
  <c r="AM9" i="3"/>
  <c r="H15" i="1"/>
  <c r="A10" i="1" l="1"/>
  <c r="AL6" i="3" s="1"/>
  <c r="A13" i="1"/>
  <c r="X2" i="1" s="1"/>
  <c r="A7" i="1"/>
  <c r="AK6" i="3" s="1"/>
  <c r="AK25" i="3" s="1"/>
  <c r="B38" i="4"/>
  <c r="R38" i="4" s="1"/>
  <c r="O37" i="4" s="1"/>
  <c r="AL8" i="3"/>
  <c r="P33" i="4"/>
  <c r="O33" i="4"/>
  <c r="P41" i="4"/>
  <c r="O41" i="4"/>
  <c r="AL12" i="3" l="1"/>
  <c r="AN1" i="3"/>
  <c r="AK12" i="3"/>
  <c r="W2" i="1"/>
  <c r="V2" i="1"/>
  <c r="AK1" i="3"/>
  <c r="A1" i="1"/>
  <c r="B3" i="3" s="1"/>
  <c r="AM6" i="3"/>
  <c r="AM12" i="3" s="1"/>
  <c r="P37" i="4"/>
  <c r="AE38" i="4" s="1"/>
  <c r="AF40" i="4" s="1"/>
  <c r="AK2" i="3"/>
  <c r="AO1" i="3"/>
  <c r="AL25" i="3"/>
  <c r="AL27" i="3" s="1"/>
  <c r="AE42" i="4"/>
  <c r="AF44" i="4" s="1"/>
  <c r="AK27" i="3"/>
  <c r="AE34" i="4"/>
  <c r="AF36" i="4" s="1"/>
  <c r="N14" i="3" l="1"/>
  <c r="N13" i="3" s="1"/>
  <c r="AK3" i="3"/>
  <c r="Z2" i="1"/>
  <c r="V1" i="1" s="1"/>
  <c r="Y2" i="1"/>
  <c r="AM25" i="3"/>
  <c r="AM27" i="3" s="1"/>
  <c r="AP1" i="3"/>
  <c r="C23" i="6"/>
  <c r="AR23" i="6" s="1"/>
  <c r="T5" i="4"/>
  <c r="AJ17" i="4" s="1"/>
  <c r="V4" i="4"/>
  <c r="AL16" i="4" s="1"/>
  <c r="Z5" i="3"/>
  <c r="AC5" i="3" s="1"/>
  <c r="AM1" i="3"/>
  <c r="N5" i="3"/>
  <c r="C19" i="6" s="1"/>
  <c r="Z14" i="3"/>
  <c r="AC14" i="3" s="1"/>
  <c r="AL1" i="3" l="1"/>
  <c r="C18" i="6"/>
  <c r="AR19" i="6"/>
  <c r="W5" i="4"/>
  <c r="AM17" i="4" s="1"/>
  <c r="X1" i="1"/>
  <c r="AA2" i="1"/>
  <c r="J23" i="4" s="1"/>
  <c r="W1" i="1"/>
  <c r="C36" i="6"/>
  <c r="AR36" i="6" s="1"/>
  <c r="Z13" i="3"/>
  <c r="AA14" i="3"/>
  <c r="AB14" i="3"/>
  <c r="V10" i="4"/>
  <c r="AL4" i="4" s="1"/>
  <c r="T11" i="4"/>
  <c r="AJ5" i="4" s="1"/>
  <c r="AD14" i="3"/>
  <c r="AO16" i="3"/>
  <c r="AA5" i="3"/>
  <c r="C32" i="6"/>
  <c r="V8" i="4"/>
  <c r="AL2" i="4" s="1"/>
  <c r="AS2" i="4" s="1"/>
  <c r="C64" i="4" s="1"/>
  <c r="Z4" i="3"/>
  <c r="AD5" i="3"/>
  <c r="AB5" i="3"/>
  <c r="W4" i="4"/>
  <c r="AM16" i="4" s="1"/>
  <c r="S64" i="4" l="1"/>
  <c r="AG7" i="3"/>
  <c r="AG6" i="3"/>
  <c r="T9" i="4"/>
  <c r="AJ3" i="4" s="1"/>
  <c r="AR32" i="6"/>
  <c r="V5" i="4"/>
  <c r="AL17" i="4" s="1"/>
  <c r="Z1" i="1"/>
  <c r="A16" i="1"/>
  <c r="O4" i="6" s="1"/>
  <c r="W3" i="4"/>
  <c r="AM15" i="4" s="1"/>
  <c r="T3" i="4"/>
  <c r="AJ15" i="4" s="1"/>
  <c r="W10" i="4"/>
  <c r="AM4" i="4" s="1"/>
  <c r="W11" i="4"/>
  <c r="AM5" i="4" s="1"/>
  <c r="C31" i="6"/>
  <c r="W9" i="4"/>
  <c r="AM3" i="4" s="1"/>
  <c r="AT8" i="4" s="1"/>
  <c r="D65" i="4" s="1"/>
  <c r="T65" i="4" l="1"/>
  <c r="AQ8" i="4"/>
  <c r="AE6" i="3"/>
  <c r="G14" i="4" s="1"/>
  <c r="W8" i="4" s="1"/>
  <c r="AM2" i="4" s="1"/>
  <c r="AT2" i="4" s="1"/>
  <c r="D64" i="4" s="1"/>
  <c r="F15" i="4"/>
  <c r="V9" i="4" s="1"/>
  <c r="AL3" i="4" s="1"/>
  <c r="AS8" i="4" s="1"/>
  <c r="C65" i="4" s="1"/>
  <c r="H14" i="4"/>
  <c r="X8" i="4" s="1"/>
  <c r="AN2" i="4" s="1"/>
  <c r="AU2" i="4" s="1"/>
  <c r="AP6" i="4" s="1"/>
  <c r="H15" i="4"/>
  <c r="X9" i="4" s="1"/>
  <c r="AN3" i="4" s="1"/>
  <c r="AU8" i="4" s="1"/>
  <c r="AP12" i="4" s="1"/>
  <c r="F9" i="4"/>
  <c r="V3" i="4" s="1"/>
  <c r="AC8" i="4" s="1"/>
  <c r="S6" i="3"/>
  <c r="G8" i="4" s="1"/>
  <c r="W2" i="4" s="1"/>
  <c r="Y5" i="3"/>
  <c r="Y14" i="3" s="1"/>
  <c r="Y23" i="3" s="1"/>
  <c r="B5" i="3"/>
  <c r="M5" i="3"/>
  <c r="M6" i="3" s="1"/>
  <c r="L26" i="4" s="1"/>
  <c r="AC26" i="4" s="1"/>
  <c r="AD8" i="4"/>
  <c r="D63" i="4" s="1"/>
  <c r="AA8" i="4"/>
  <c r="V11" i="4"/>
  <c r="AL5" i="4" s="1"/>
  <c r="M30" i="3" l="1"/>
  <c r="T63" i="4"/>
  <c r="S65" i="4"/>
  <c r="H65" i="4"/>
  <c r="W65" i="4" s="1"/>
  <c r="T64" i="4"/>
  <c r="H64" i="4"/>
  <c r="W64" i="4" s="1"/>
  <c r="E65" i="4"/>
  <c r="U65" i="4" s="1"/>
  <c r="E64" i="4"/>
  <c r="U64" i="4" s="1"/>
  <c r="C63" i="4"/>
  <c r="S63" i="4" s="1"/>
  <c r="AL15" i="4"/>
  <c r="AD2" i="4"/>
  <c r="D62" i="4" s="1"/>
  <c r="AM14" i="4"/>
  <c r="M28" i="3"/>
  <c r="B29" i="3"/>
  <c r="B14" i="3"/>
  <c r="B23" i="3" s="1"/>
  <c r="Y29" i="3"/>
  <c r="M29" i="3"/>
  <c r="Y28" i="3"/>
  <c r="B6" i="3"/>
  <c r="B28" i="3"/>
  <c r="AO25" i="3"/>
  <c r="AO21" i="3" s="1"/>
  <c r="Y6" i="3"/>
  <c r="Y15" i="3" s="1"/>
  <c r="Y24" i="3" s="1"/>
  <c r="M14" i="3"/>
  <c r="M23" i="3" s="1"/>
  <c r="M15" i="3"/>
  <c r="M24" i="3" s="1"/>
  <c r="B19" i="6"/>
  <c r="M7" i="3"/>
  <c r="N7" i="3" s="1"/>
  <c r="C21" i="6" l="1"/>
  <c r="AR21" i="6" s="1"/>
  <c r="B15" i="3"/>
  <c r="B24" i="3" s="1"/>
  <c r="H63" i="4"/>
  <c r="W63" i="4" s="1"/>
  <c r="T62" i="4"/>
  <c r="H62" i="4"/>
  <c r="W62" i="4" s="1"/>
  <c r="B27" i="6"/>
  <c r="AQ27" i="6" s="1"/>
  <c r="AQ19" i="6"/>
  <c r="AN26" i="3"/>
  <c r="K25" i="4"/>
  <c r="AC25" i="4" s="1"/>
  <c r="B7" i="3"/>
  <c r="B6" i="6"/>
  <c r="B32" i="6"/>
  <c r="AN27" i="3"/>
  <c r="Y7" i="3"/>
  <c r="Z7" i="3" s="1"/>
  <c r="K31" i="4"/>
  <c r="AC31" i="4" s="1"/>
  <c r="M16" i="3"/>
  <c r="M25" i="3" s="1"/>
  <c r="N23" i="3" s="1"/>
  <c r="T7" i="4" s="1"/>
  <c r="AJ19" i="4" s="1"/>
  <c r="N6" i="3"/>
  <c r="N9" i="3" s="1"/>
  <c r="B23" i="6"/>
  <c r="AQ23" i="6" s="1"/>
  <c r="B9" i="4"/>
  <c r="R3" i="4" s="1"/>
  <c r="C7" i="3" l="1"/>
  <c r="C8" i="6" s="1"/>
  <c r="AR8" i="6" s="1"/>
  <c r="C6" i="3"/>
  <c r="C9" i="3" s="1"/>
  <c r="C20" i="6"/>
  <c r="AR20" i="6" s="1"/>
  <c r="N10" i="3"/>
  <c r="C34" i="6"/>
  <c r="AR34" i="6" s="1"/>
  <c r="Z10" i="3"/>
  <c r="B36" i="6"/>
  <c r="AQ36" i="6" s="1"/>
  <c r="AQ32" i="6"/>
  <c r="B15" i="6"/>
  <c r="AQ15" i="6" s="1"/>
  <c r="AQ6" i="6"/>
  <c r="N24" i="3"/>
  <c r="AN28" i="3"/>
  <c r="B10" i="6"/>
  <c r="B16" i="3"/>
  <c r="B25" i="3" s="1"/>
  <c r="C23" i="3" s="1"/>
  <c r="B40" i="6"/>
  <c r="AQ40" i="6" s="1"/>
  <c r="AN29" i="3"/>
  <c r="Y16" i="3"/>
  <c r="Y25" i="3" s="1"/>
  <c r="Z23" i="3" s="1"/>
  <c r="AA23" i="3" s="1"/>
  <c r="Z6" i="3"/>
  <c r="B15" i="4"/>
  <c r="R9" i="4" s="1"/>
  <c r="AH3" i="4" s="1"/>
  <c r="V6" i="4"/>
  <c r="AL18" i="4" s="1"/>
  <c r="N22" i="3"/>
  <c r="P23" i="3"/>
  <c r="C27" i="6"/>
  <c r="AR27" i="6" s="1"/>
  <c r="R23" i="3"/>
  <c r="O23" i="3"/>
  <c r="Q23" i="3"/>
  <c r="B8" i="4"/>
  <c r="R2" i="4" s="1"/>
  <c r="Y2" i="4" s="1"/>
  <c r="R31" i="6"/>
  <c r="Q31" i="6" s="1"/>
  <c r="AC11" i="6"/>
  <c r="Y8" i="4"/>
  <c r="AH15" i="4"/>
  <c r="B3" i="4" l="1"/>
  <c r="I8" i="4" s="1"/>
  <c r="B61" i="4" s="1"/>
  <c r="AC14" i="6"/>
  <c r="AG14" i="6" s="1"/>
  <c r="R16" i="6"/>
  <c r="Q16" i="6" s="1"/>
  <c r="Y16" i="6" s="1"/>
  <c r="AC10" i="6"/>
  <c r="AI10" i="6" s="1"/>
  <c r="AC8" i="6"/>
  <c r="AH8" i="6" s="1"/>
  <c r="R46" i="6"/>
  <c r="Q46" i="6" s="1"/>
  <c r="Y47" i="6" s="1"/>
  <c r="R29" i="6"/>
  <c r="Q29" i="6" s="1"/>
  <c r="Y29" i="6" s="1"/>
  <c r="B14" i="4"/>
  <c r="R8" i="4" s="1"/>
  <c r="AH2" i="4" s="1"/>
  <c r="AO2" i="4" s="1"/>
  <c r="Z9" i="3"/>
  <c r="AL13" i="3" s="1"/>
  <c r="AL17" i="3" s="1"/>
  <c r="C7" i="6"/>
  <c r="AR7" i="6" s="1"/>
  <c r="C10" i="3"/>
  <c r="AK14" i="3" s="1"/>
  <c r="AK19" i="3" s="1"/>
  <c r="B12" i="4"/>
  <c r="R6" i="4" s="1"/>
  <c r="AH18" i="4" s="1"/>
  <c r="C28" i="6"/>
  <c r="AR28" i="6" s="1"/>
  <c r="C24" i="3"/>
  <c r="G23" i="3"/>
  <c r="AO8" i="4"/>
  <c r="B14" i="6"/>
  <c r="AQ14" i="6" s="1"/>
  <c r="AQ10" i="6"/>
  <c r="Z24" i="3"/>
  <c r="AN25" i="3"/>
  <c r="AN21" i="3" s="1"/>
  <c r="C14" i="6"/>
  <c r="AR14" i="6" s="1"/>
  <c r="T19" i="4"/>
  <c r="AJ13" i="4" s="1"/>
  <c r="F23" i="3"/>
  <c r="W18" i="4"/>
  <c r="AM12" i="4" s="1"/>
  <c r="C40" i="6"/>
  <c r="AR40" i="6" s="1"/>
  <c r="D23" i="3"/>
  <c r="C22" i="3"/>
  <c r="AC23" i="3"/>
  <c r="V12" i="4"/>
  <c r="AL6" i="4" s="1"/>
  <c r="E23" i="3"/>
  <c r="AH14" i="4"/>
  <c r="T13" i="4"/>
  <c r="AJ7" i="4" s="1"/>
  <c r="R15" i="4"/>
  <c r="AH9" i="4" s="1"/>
  <c r="W6" i="4"/>
  <c r="AM18" i="4" s="1"/>
  <c r="B2" i="4"/>
  <c r="I2" i="4" s="1"/>
  <c r="AD23" i="3"/>
  <c r="AB23" i="3"/>
  <c r="Z22" i="3"/>
  <c r="C33" i="6"/>
  <c r="Y11" i="4"/>
  <c r="C35" i="3" s="1"/>
  <c r="B63" i="4"/>
  <c r="Y5" i="4"/>
  <c r="C34" i="3" s="1"/>
  <c r="B62" i="4"/>
  <c r="AH10" i="6"/>
  <c r="V7" i="4"/>
  <c r="AL19" i="4" s="1"/>
  <c r="W7" i="4"/>
  <c r="AM19" i="4" s="1"/>
  <c r="AG11" i="6"/>
  <c r="AH11" i="6"/>
  <c r="AI11" i="6"/>
  <c r="Y31" i="6"/>
  <c r="Y32" i="6"/>
  <c r="I11" i="4" l="1"/>
  <c r="C32" i="3" s="1"/>
  <c r="AI14" i="6"/>
  <c r="AM14" i="3"/>
  <c r="AM19" i="3" s="1"/>
  <c r="Y30" i="6"/>
  <c r="AL14" i="3"/>
  <c r="Y46" i="6"/>
  <c r="AI8" i="6"/>
  <c r="AG8" i="6"/>
  <c r="Y17" i="6"/>
  <c r="AH14" i="6"/>
  <c r="R14" i="6"/>
  <c r="Q14" i="6" s="1"/>
  <c r="Y15" i="6" s="1"/>
  <c r="AG10" i="6"/>
  <c r="AC7" i="6"/>
  <c r="AG7" i="6" s="1"/>
  <c r="AC28" i="6"/>
  <c r="AG28" i="6" s="1"/>
  <c r="R39" i="6"/>
  <c r="Q40" i="6" s="1"/>
  <c r="AO5" i="4"/>
  <c r="B30" i="4" s="1"/>
  <c r="R30" i="4" s="1"/>
  <c r="B18" i="4"/>
  <c r="R12" i="4" s="1"/>
  <c r="AH6" i="4" s="1"/>
  <c r="C41" i="6"/>
  <c r="AO11" i="4"/>
  <c r="B6" i="4"/>
  <c r="R18" i="4" s="1"/>
  <c r="AH12" i="4" s="1"/>
  <c r="C15" i="6"/>
  <c r="B64" i="4"/>
  <c r="B65" i="4"/>
  <c r="I5" i="4"/>
  <c r="B23" i="4" s="1"/>
  <c r="R44" i="6"/>
  <c r="Q44" i="6" s="1"/>
  <c r="Y45" i="6" s="1"/>
  <c r="AR33" i="6"/>
  <c r="AM13" i="3"/>
  <c r="AM17" i="3" s="1"/>
  <c r="AM22" i="3" s="1"/>
  <c r="AL22" i="3"/>
  <c r="V18" i="4"/>
  <c r="AL12" i="4" s="1"/>
  <c r="W19" i="4"/>
  <c r="AM13" i="4" s="1"/>
  <c r="W12" i="4"/>
  <c r="AM6" i="4" s="1"/>
  <c r="B60" i="4"/>
  <c r="R14" i="4"/>
  <c r="AH8" i="4" s="1"/>
  <c r="W13" i="4"/>
  <c r="AM7" i="4" s="1"/>
  <c r="AC13" i="6"/>
  <c r="AI13" i="6" s="1"/>
  <c r="AK13" i="3"/>
  <c r="AK17" i="3" s="1"/>
  <c r="AK22" i="3" s="1"/>
  <c r="B51" i="4"/>
  <c r="B26" i="4"/>
  <c r="R63" i="4"/>
  <c r="B52" i="4"/>
  <c r="B27" i="4"/>
  <c r="R62" i="4"/>
  <c r="B24" i="4"/>
  <c r="B50" i="4"/>
  <c r="R61" i="4"/>
  <c r="AL18" i="3" l="1"/>
  <c r="AL19" i="3"/>
  <c r="N15" i="3"/>
  <c r="Y14" i="6"/>
  <c r="AH7" i="6"/>
  <c r="AI7" i="6"/>
  <c r="AI28" i="6"/>
  <c r="AH28" i="6"/>
  <c r="B54" i="4"/>
  <c r="R54" i="4" s="1"/>
  <c r="C38" i="3"/>
  <c r="B49" i="4"/>
  <c r="R49" i="4" s="1"/>
  <c r="C31" i="3"/>
  <c r="B53" i="4"/>
  <c r="R53" i="4" s="1"/>
  <c r="C37" i="3"/>
  <c r="Q39" i="6"/>
  <c r="Y39" i="6" s="1"/>
  <c r="S40" i="6"/>
  <c r="R40" i="6"/>
  <c r="B31" i="4"/>
  <c r="R31" i="4" s="1"/>
  <c r="AR15" i="6"/>
  <c r="AC25" i="6"/>
  <c r="R24" i="6"/>
  <c r="AR41" i="6"/>
  <c r="R54" i="6"/>
  <c r="AC31" i="6"/>
  <c r="R65" i="4"/>
  <c r="R64" i="4"/>
  <c r="AM18" i="3"/>
  <c r="AK23" i="3" s="1"/>
  <c r="Y44" i="6"/>
  <c r="Z15" i="3"/>
  <c r="AK18" i="3"/>
  <c r="R60" i="4"/>
  <c r="V19" i="4"/>
  <c r="AL13" i="4" s="1"/>
  <c r="V13" i="4"/>
  <c r="AL7" i="4" s="1"/>
  <c r="C15" i="3"/>
  <c r="AG13" i="6"/>
  <c r="AH13" i="6"/>
  <c r="R23" i="4"/>
  <c r="R27" i="4"/>
  <c r="R26" i="4"/>
  <c r="R52" i="4"/>
  <c r="R51" i="4"/>
  <c r="R50" i="4"/>
  <c r="R24" i="4"/>
  <c r="AK28" i="3" l="1"/>
  <c r="AM23" i="3"/>
  <c r="Y40" i="6"/>
  <c r="AL28" i="3"/>
  <c r="N25" i="3" s="1"/>
  <c r="B13" i="4" s="1"/>
  <c r="R7" i="4" s="1"/>
  <c r="AH19" i="4" s="1"/>
  <c r="B16" i="4"/>
  <c r="R10" i="4" s="1"/>
  <c r="AH4" i="4" s="1"/>
  <c r="AO14" i="4" s="1"/>
  <c r="C37" i="6"/>
  <c r="AG31" i="6"/>
  <c r="AH31" i="6"/>
  <c r="AI31" i="6"/>
  <c r="C24" i="6"/>
  <c r="AR24" i="6" s="1"/>
  <c r="Q55" i="6"/>
  <c r="S55" i="6"/>
  <c r="Q54" i="6"/>
  <c r="R55" i="6"/>
  <c r="Q24" i="6"/>
  <c r="S25" i="6"/>
  <c r="Q25" i="6"/>
  <c r="R25" i="6"/>
  <c r="B4" i="4"/>
  <c r="I14" i="4" s="1"/>
  <c r="O14" i="4" s="1"/>
  <c r="J18" i="4" s="1"/>
  <c r="C11" i="6"/>
  <c r="AG25" i="6"/>
  <c r="AI25" i="6"/>
  <c r="AH25" i="6"/>
  <c r="AM28" i="3"/>
  <c r="B10" i="4"/>
  <c r="R4" i="4" s="1"/>
  <c r="Y14" i="4" s="1"/>
  <c r="AL23" i="3"/>
  <c r="C25" i="3" l="1"/>
  <c r="Z25" i="3"/>
  <c r="C42" i="6" s="1"/>
  <c r="AR42" i="6" s="1"/>
  <c r="Z16" i="3"/>
  <c r="N16" i="3"/>
  <c r="R16" i="4"/>
  <c r="AH10" i="4" s="1"/>
  <c r="C29" i="6"/>
  <c r="R41" i="6" s="1"/>
  <c r="R34" i="6"/>
  <c r="Q34" i="6" s="1"/>
  <c r="Y34" i="6" s="1"/>
  <c r="Y24" i="6"/>
  <c r="Y25" i="6"/>
  <c r="AO17" i="4"/>
  <c r="AS14" i="4"/>
  <c r="AT14" i="4"/>
  <c r="AQ14" i="4"/>
  <c r="AR14" i="4"/>
  <c r="AU14" i="4"/>
  <c r="AP18" i="4" s="1"/>
  <c r="Y54" i="6"/>
  <c r="Y55" i="6"/>
  <c r="AR37" i="6"/>
  <c r="AC22" i="6"/>
  <c r="R49" i="6"/>
  <c r="Q49" i="6" s="1"/>
  <c r="AC19" i="6"/>
  <c r="AG19" i="6" s="1"/>
  <c r="AP14" i="4"/>
  <c r="AC16" i="6"/>
  <c r="AG16" i="6" s="1"/>
  <c r="AR11" i="6"/>
  <c r="AH16" i="4"/>
  <c r="C16" i="3"/>
  <c r="R19" i="6"/>
  <c r="Q19" i="6" s="1"/>
  <c r="Y19" i="6" s="1"/>
  <c r="AC14" i="4"/>
  <c r="AD14" i="4"/>
  <c r="Z14" i="4"/>
  <c r="Y17" i="4"/>
  <c r="C36" i="3" s="1"/>
  <c r="AA14" i="4"/>
  <c r="AB14" i="4"/>
  <c r="M14" i="4"/>
  <c r="N14" i="4"/>
  <c r="K14" i="4"/>
  <c r="L14" i="4"/>
  <c r="J14" i="4"/>
  <c r="I17" i="4"/>
  <c r="B19" i="4" l="1"/>
  <c r="R13" i="4" s="1"/>
  <c r="AH7" i="4" s="1"/>
  <c r="B17" i="4"/>
  <c r="R11" i="4" s="1"/>
  <c r="AH5" i="4" s="1"/>
  <c r="AT9" i="4" s="1"/>
  <c r="AT11" i="4" s="1"/>
  <c r="Z18" i="3"/>
  <c r="N18" i="3"/>
  <c r="N19" i="3"/>
  <c r="C18" i="3"/>
  <c r="C19" i="3"/>
  <c r="C38" i="6"/>
  <c r="Z19" i="3"/>
  <c r="B7" i="4"/>
  <c r="R19" i="4" s="1"/>
  <c r="AH13" i="4" s="1"/>
  <c r="C16" i="6"/>
  <c r="AR16" i="6" s="1"/>
  <c r="C12" i="6"/>
  <c r="R21" i="6" s="1"/>
  <c r="Q21" i="6" s="1"/>
  <c r="AC29" i="6"/>
  <c r="AH29" i="6" s="1"/>
  <c r="AR29" i="6"/>
  <c r="B57" i="4"/>
  <c r="R57" i="4" s="1"/>
  <c r="C39" i="3"/>
  <c r="B25" i="4"/>
  <c r="R25" i="4" s="1"/>
  <c r="C33" i="3"/>
  <c r="B32" i="4"/>
  <c r="R32" i="4" s="1"/>
  <c r="P29" i="4" s="1"/>
  <c r="AC32" i="6"/>
  <c r="AH32" i="6" s="1"/>
  <c r="R56" i="6"/>
  <c r="R57" i="6" s="1"/>
  <c r="Y35" i="6"/>
  <c r="AT3" i="4"/>
  <c r="AT5" i="4" s="1"/>
  <c r="D53" i="4" s="1"/>
  <c r="AS9" i="4"/>
  <c r="AS11" i="4" s="1"/>
  <c r="C54" i="4" s="1"/>
  <c r="AQ15" i="4"/>
  <c r="Y50" i="6"/>
  <c r="Y49" i="6"/>
  <c r="AT15" i="4"/>
  <c r="AT17" i="4" s="1"/>
  <c r="D57" i="4" s="1"/>
  <c r="AS3" i="4"/>
  <c r="AS5" i="4" s="1"/>
  <c r="C53" i="4" s="1"/>
  <c r="AG22" i="6"/>
  <c r="AH22" i="6"/>
  <c r="AI22" i="6"/>
  <c r="AS15" i="4"/>
  <c r="AS17" i="4" s="1"/>
  <c r="C57" i="4" s="1"/>
  <c r="AR9" i="4"/>
  <c r="AR11" i="4" s="1"/>
  <c r="AR3" i="4"/>
  <c r="AR5" i="4" s="1"/>
  <c r="AU9" i="4"/>
  <c r="AQ9" i="4"/>
  <c r="AQ11" i="4" s="1"/>
  <c r="AI19" i="6"/>
  <c r="AU3" i="4"/>
  <c r="AQ3" i="4"/>
  <c r="AQ5" i="4" s="1"/>
  <c r="AU15" i="4"/>
  <c r="AH19" i="6"/>
  <c r="B11" i="4"/>
  <c r="R5" i="4" s="1"/>
  <c r="C25" i="6"/>
  <c r="AR25" i="6" s="1"/>
  <c r="S42" i="6"/>
  <c r="R42" i="6"/>
  <c r="Q42" i="6"/>
  <c r="Q41" i="6"/>
  <c r="AR15" i="4"/>
  <c r="AR17" i="4" s="1"/>
  <c r="AI16" i="6"/>
  <c r="AH16" i="6"/>
  <c r="G30" i="4"/>
  <c r="AP9" i="4"/>
  <c r="AP3" i="4"/>
  <c r="AP15" i="4"/>
  <c r="AV14" i="4" s="1"/>
  <c r="Y20" i="6"/>
  <c r="B5" i="4"/>
  <c r="AE14" i="4"/>
  <c r="Z18" i="4" s="1"/>
  <c r="B56" i="4"/>
  <c r="B28" i="4"/>
  <c r="D54" i="4" l="1"/>
  <c r="H54" i="4" s="1"/>
  <c r="AP13" i="4"/>
  <c r="AR13" i="4" s="1"/>
  <c r="E38" i="3" s="1"/>
  <c r="AQ12" i="4"/>
  <c r="AR12" i="4" s="1"/>
  <c r="D38" i="3" s="1"/>
  <c r="AQ18" i="4"/>
  <c r="AR18" i="4" s="1"/>
  <c r="D39" i="3" s="1"/>
  <c r="AP19" i="4"/>
  <c r="AR19" i="4" s="1"/>
  <c r="E39" i="3" s="1"/>
  <c r="AP11" i="4"/>
  <c r="AV9" i="4"/>
  <c r="AV8" i="4"/>
  <c r="F65" i="4" s="1"/>
  <c r="AP17" i="4"/>
  <c r="AV15" i="4"/>
  <c r="AV17" i="4" s="1"/>
  <c r="AQ6" i="4"/>
  <c r="AR6" i="4" s="1"/>
  <c r="D37" i="3" s="1"/>
  <c r="AP7" i="4"/>
  <c r="AR7" i="4" s="1"/>
  <c r="E37" i="3" s="1"/>
  <c r="AP5" i="4"/>
  <c r="AV2" i="4"/>
  <c r="AV3" i="4"/>
  <c r="AC23" i="6"/>
  <c r="R51" i="6"/>
  <c r="Q51" i="6" s="1"/>
  <c r="AR38" i="6"/>
  <c r="AC26" i="6"/>
  <c r="AI26" i="6" s="1"/>
  <c r="R26" i="6"/>
  <c r="S27" i="6" s="1"/>
  <c r="AG29" i="6"/>
  <c r="AC17" i="6"/>
  <c r="AI17" i="6" s="1"/>
  <c r="AR12" i="6"/>
  <c r="AI29" i="6"/>
  <c r="Q57" i="6"/>
  <c r="V55" i="6" s="1"/>
  <c r="S57" i="6"/>
  <c r="Q56" i="6"/>
  <c r="Y57" i="6" s="1"/>
  <c r="H57" i="4"/>
  <c r="S54" i="4"/>
  <c r="O29" i="4"/>
  <c r="AE30" i="4" s="1"/>
  <c r="AF32" i="4" s="1"/>
  <c r="Y30" i="3" s="1"/>
  <c r="AU11" i="4"/>
  <c r="J9" i="4"/>
  <c r="O3" i="4"/>
  <c r="AG32" i="6"/>
  <c r="AI32" i="6"/>
  <c r="H53" i="4"/>
  <c r="S53" i="4"/>
  <c r="AD15" i="4"/>
  <c r="AD17" i="4" s="1"/>
  <c r="D56" i="4" s="1"/>
  <c r="Z15" i="4"/>
  <c r="AB15" i="4"/>
  <c r="AB17" i="4" s="1"/>
  <c r="S57" i="4"/>
  <c r="AA15" i="4"/>
  <c r="AE15" i="4" s="1"/>
  <c r="AC15" i="4"/>
  <c r="AC17" i="4" s="1"/>
  <c r="C56" i="4" s="1"/>
  <c r="Y22" i="6"/>
  <c r="Y21" i="6"/>
  <c r="AH17" i="4"/>
  <c r="Y42" i="6"/>
  <c r="Y41" i="6"/>
  <c r="V42" i="6"/>
  <c r="V40" i="6"/>
  <c r="AU5" i="4"/>
  <c r="E53" i="4" s="1"/>
  <c r="U53" i="4" s="1"/>
  <c r="G26" i="4"/>
  <c r="AU17" i="4"/>
  <c r="AQ17" i="4"/>
  <c r="T57" i="4" s="1"/>
  <c r="J15" i="4"/>
  <c r="O9" i="4"/>
  <c r="K12" i="4" s="1"/>
  <c r="O15" i="4"/>
  <c r="K3" i="4"/>
  <c r="J3" i="4"/>
  <c r="N15" i="4"/>
  <c r="N17" i="4" s="1"/>
  <c r="R36" i="6"/>
  <c r="Q36" i="6" s="1"/>
  <c r="Y37" i="6" s="1"/>
  <c r="AC20" i="6"/>
  <c r="AG20" i="6" s="1"/>
  <c r="M15" i="4"/>
  <c r="M17" i="4" s="1"/>
  <c r="M3" i="4"/>
  <c r="M5" i="4" s="1"/>
  <c r="C49" i="4" s="1"/>
  <c r="K15" i="4"/>
  <c r="K17" i="4" s="1"/>
  <c r="L3" i="4"/>
  <c r="L5" i="4" s="1"/>
  <c r="N3" i="4"/>
  <c r="N5" i="4" s="1"/>
  <c r="L15" i="4"/>
  <c r="L17" i="4" s="1"/>
  <c r="R17" i="4"/>
  <c r="Z3" i="4" s="1"/>
  <c r="N9" i="4"/>
  <c r="N11" i="4" s="1"/>
  <c r="D50" i="4" s="1"/>
  <c r="M9" i="4"/>
  <c r="M11" i="4" s="1"/>
  <c r="C50" i="4" s="1"/>
  <c r="K9" i="4"/>
  <c r="L9" i="4"/>
  <c r="L11" i="4" s="1"/>
  <c r="R28" i="4"/>
  <c r="R56" i="4"/>
  <c r="E54" i="4" l="1"/>
  <c r="AV11" i="4"/>
  <c r="J11" i="4"/>
  <c r="P9" i="4"/>
  <c r="P8" i="4"/>
  <c r="F61" i="4" s="1"/>
  <c r="Z17" i="4"/>
  <c r="AF15" i="4"/>
  <c r="AF14" i="4"/>
  <c r="V65" i="4"/>
  <c r="I65" i="4"/>
  <c r="J17" i="4"/>
  <c r="P15" i="4"/>
  <c r="P14" i="4"/>
  <c r="Z5" i="4"/>
  <c r="AF2" i="4"/>
  <c r="AV5" i="4"/>
  <c r="F53" i="4" s="1"/>
  <c r="I53" i="4" s="1"/>
  <c r="F64" i="4"/>
  <c r="J5" i="4"/>
  <c r="P3" i="4"/>
  <c r="P2" i="4"/>
  <c r="F60" i="4" s="1"/>
  <c r="K18" i="4"/>
  <c r="L18" i="4" s="1"/>
  <c r="D33" i="3" s="1"/>
  <c r="J19" i="4"/>
  <c r="L19" i="4" s="1"/>
  <c r="E33" i="3" s="1"/>
  <c r="Z19" i="4"/>
  <c r="AB19" i="4" s="1"/>
  <c r="E36" i="3" s="1"/>
  <c r="AA18" i="4"/>
  <c r="AB18" i="4" s="1"/>
  <c r="D36" i="3" s="1"/>
  <c r="J7" i="4"/>
  <c r="L7" i="4" s="1"/>
  <c r="E31" i="3" s="1"/>
  <c r="K6" i="4"/>
  <c r="L6" i="4" s="1"/>
  <c r="D31" i="3" s="1"/>
  <c r="J13" i="4"/>
  <c r="L13" i="4" s="1"/>
  <c r="E32" i="3" s="1"/>
  <c r="Q26" i="6"/>
  <c r="Y27" i="6" s="1"/>
  <c r="N27" i="6" s="1"/>
  <c r="AI23" i="6"/>
  <c r="AH23" i="6"/>
  <c r="AG23" i="6"/>
  <c r="Y52" i="6"/>
  <c r="N52" i="6" s="1"/>
  <c r="Y51" i="6"/>
  <c r="N51" i="6" s="1"/>
  <c r="Q27" i="6"/>
  <c r="V27" i="6" s="1"/>
  <c r="AG26" i="6"/>
  <c r="R27" i="6"/>
  <c r="AH26" i="6"/>
  <c r="AG17" i="6"/>
  <c r="AH17" i="6"/>
  <c r="AC3" i="4"/>
  <c r="AC5" i="4" s="1"/>
  <c r="C51" i="4" s="1"/>
  <c r="C30" i="4" s="1"/>
  <c r="S30" i="4" s="1"/>
  <c r="AB3" i="4"/>
  <c r="AB5" i="4" s="1"/>
  <c r="AA3" i="4"/>
  <c r="AE3" i="4" s="1"/>
  <c r="AF3" i="4" s="1"/>
  <c r="AD3" i="4"/>
  <c r="AD5" i="4" s="1"/>
  <c r="D51" i="4" s="1"/>
  <c r="Y56" i="6"/>
  <c r="N56" i="6" s="1"/>
  <c r="V57" i="6"/>
  <c r="L12" i="4"/>
  <c r="D32" i="3" s="1"/>
  <c r="H56" i="4"/>
  <c r="W56" i="4" s="1"/>
  <c r="AA17" i="4"/>
  <c r="H50" i="4"/>
  <c r="AE17" i="4"/>
  <c r="E56" i="4" s="1"/>
  <c r="S56" i="4"/>
  <c r="C23" i="4"/>
  <c r="S23" i="4" s="1"/>
  <c r="G23" i="4"/>
  <c r="D49" i="4"/>
  <c r="H49" i="4" s="1"/>
  <c r="S49" i="4"/>
  <c r="W57" i="4"/>
  <c r="E57" i="4"/>
  <c r="F57" i="4"/>
  <c r="V57" i="4" s="1"/>
  <c r="O5" i="4"/>
  <c r="S50" i="4"/>
  <c r="W53" i="4"/>
  <c r="AH20" i="6"/>
  <c r="K5" i="4"/>
  <c r="AI20" i="6"/>
  <c r="Y36" i="6"/>
  <c r="O17" i="4"/>
  <c r="B55" i="4" s="1"/>
  <c r="O11" i="4"/>
  <c r="E50" i="4" s="1"/>
  <c r="K11" i="4"/>
  <c r="G24" i="4"/>
  <c r="AH11" i="4"/>
  <c r="AB9" i="4"/>
  <c r="AB11" i="4" s="1"/>
  <c r="AD9" i="4"/>
  <c r="AC9" i="4"/>
  <c r="AC11" i="4" s="1"/>
  <c r="C52" i="4" s="1"/>
  <c r="Z9" i="4"/>
  <c r="AA9" i="4"/>
  <c r="T53" i="4"/>
  <c r="N57" i="6"/>
  <c r="N44" i="6"/>
  <c r="N46" i="6"/>
  <c r="N45" i="6"/>
  <c r="N47" i="6"/>
  <c r="N50" i="6"/>
  <c r="N49" i="6"/>
  <c r="N55" i="6"/>
  <c r="N54" i="6"/>
  <c r="T54" i="4"/>
  <c r="N40" i="6"/>
  <c r="N39" i="6"/>
  <c r="N42" i="6"/>
  <c r="N41" i="6"/>
  <c r="N35" i="6"/>
  <c r="N22" i="6"/>
  <c r="N29" i="6"/>
  <c r="N31" i="6"/>
  <c r="N24" i="6"/>
  <c r="N21" i="6"/>
  <c r="N34" i="6"/>
  <c r="N30" i="6"/>
  <c r="N37" i="6"/>
  <c r="N19" i="6"/>
  <c r="N20" i="6"/>
  <c r="N25" i="6"/>
  <c r="N32" i="6"/>
  <c r="T56" i="4"/>
  <c r="P22" i="4"/>
  <c r="O22" i="4"/>
  <c r="P11" i="4" l="1"/>
  <c r="F50" i="4" s="1"/>
  <c r="V50" i="4" s="1"/>
  <c r="P5" i="4"/>
  <c r="F49" i="4" s="1"/>
  <c r="F23" i="4" s="1"/>
  <c r="V23" i="4" s="1"/>
  <c r="AF17" i="4"/>
  <c r="F56" i="4" s="1"/>
  <c r="V56" i="4" s="1"/>
  <c r="D31" i="4"/>
  <c r="T31" i="4" s="1"/>
  <c r="D30" i="4"/>
  <c r="T30" i="4" s="1"/>
  <c r="V64" i="4"/>
  <c r="I64" i="4"/>
  <c r="X65" i="4"/>
  <c r="AF5" i="4"/>
  <c r="F51" i="4" s="1"/>
  <c r="F62" i="4"/>
  <c r="V53" i="4"/>
  <c r="Z11" i="4"/>
  <c r="AF8" i="4"/>
  <c r="V60" i="4"/>
  <c r="I60" i="4"/>
  <c r="V61" i="4"/>
  <c r="I61" i="4"/>
  <c r="Z7" i="4"/>
  <c r="AB7" i="4" s="1"/>
  <c r="E34" i="3" s="1"/>
  <c r="AA6" i="4"/>
  <c r="AB6" i="4" s="1"/>
  <c r="D34" i="3" s="1"/>
  <c r="Y26" i="6"/>
  <c r="N26" i="6" s="1"/>
  <c r="V25" i="6"/>
  <c r="N36" i="6"/>
  <c r="C26" i="4"/>
  <c r="S26" i="4" s="1"/>
  <c r="D26" i="4"/>
  <c r="T26" i="4" s="1"/>
  <c r="C31" i="4"/>
  <c r="S31" i="4" s="1"/>
  <c r="S51" i="4"/>
  <c r="H51" i="4"/>
  <c r="H42" i="4" s="1"/>
  <c r="W42" i="4" s="1"/>
  <c r="AE5" i="4"/>
  <c r="E51" i="4" s="1"/>
  <c r="U51" i="4" s="1"/>
  <c r="AA5" i="4"/>
  <c r="T51" i="4"/>
  <c r="N16" i="6"/>
  <c r="N15" i="6"/>
  <c r="N14" i="6"/>
  <c r="N17" i="6"/>
  <c r="P17" i="4"/>
  <c r="T49" i="4"/>
  <c r="C55" i="4"/>
  <c r="C28" i="4" s="1"/>
  <c r="U50" i="4"/>
  <c r="I57" i="4"/>
  <c r="X57" i="4" s="1"/>
  <c r="U57" i="4"/>
  <c r="G39" i="4"/>
  <c r="AD11" i="4"/>
  <c r="D52" i="4" s="1"/>
  <c r="H52" i="4" s="1"/>
  <c r="W49" i="4"/>
  <c r="E49" i="4"/>
  <c r="E31" i="4" s="1"/>
  <c r="U31" i="4" s="1"/>
  <c r="I56" i="4"/>
  <c r="U56" i="4"/>
  <c r="F54" i="4"/>
  <c r="I54" i="4" s="1"/>
  <c r="H23" i="4"/>
  <c r="W23" i="4" s="1"/>
  <c r="C36" i="4"/>
  <c r="S36" i="4" s="1"/>
  <c r="C24" i="4"/>
  <c r="S24" i="4" s="1"/>
  <c r="D23" i="4"/>
  <c r="T23" i="4" s="1"/>
  <c r="W54" i="4"/>
  <c r="R55" i="4"/>
  <c r="C32" i="4"/>
  <c r="S32" i="4" s="1"/>
  <c r="G32" i="4"/>
  <c r="G35" i="4"/>
  <c r="C42" i="4"/>
  <c r="S42" i="4" s="1"/>
  <c r="G43" i="4"/>
  <c r="G27" i="4"/>
  <c r="AE9" i="4"/>
  <c r="AA11" i="4"/>
  <c r="W50" i="4"/>
  <c r="H24" i="4"/>
  <c r="W24" i="4" s="1"/>
  <c r="U54" i="4"/>
  <c r="AE23" i="4"/>
  <c r="AF27" i="4" s="1"/>
  <c r="B32" i="3" s="1"/>
  <c r="I50" i="4" l="1"/>
  <c r="X61" i="4"/>
  <c r="V62" i="4"/>
  <c r="I62" i="4"/>
  <c r="X60" i="4"/>
  <c r="F63" i="4"/>
  <c r="X64" i="4"/>
  <c r="AA12" i="4"/>
  <c r="AB12" i="4" s="1"/>
  <c r="D35" i="3" s="1"/>
  <c r="Z13" i="4"/>
  <c r="AB13" i="4" s="1"/>
  <c r="E35" i="3" s="1"/>
  <c r="AF9" i="4"/>
  <c r="AF11" i="4" s="1"/>
  <c r="H30" i="4"/>
  <c r="W30" i="4" s="1"/>
  <c r="E26" i="4"/>
  <c r="U26" i="4" s="1"/>
  <c r="E30" i="4"/>
  <c r="U30" i="4" s="1"/>
  <c r="H31" i="4"/>
  <c r="W31" i="4" s="1"/>
  <c r="W51" i="4"/>
  <c r="H26" i="4"/>
  <c r="W26" i="4" s="1"/>
  <c r="N60" i="6"/>
  <c r="N59" i="6"/>
  <c r="V51" i="4"/>
  <c r="F30" i="4"/>
  <c r="V30" i="4" s="1"/>
  <c r="C44" i="4"/>
  <c r="S44" i="4" s="1"/>
  <c r="I51" i="4"/>
  <c r="F26" i="4"/>
  <c r="V26" i="4" s="1"/>
  <c r="E24" i="4"/>
  <c r="U24" i="4" s="1"/>
  <c r="D55" i="4"/>
  <c r="D36" i="4" s="1"/>
  <c r="T36" i="4" s="1"/>
  <c r="I49" i="4"/>
  <c r="U49" i="4"/>
  <c r="E23" i="4"/>
  <c r="U23" i="4" s="1"/>
  <c r="C34" i="4"/>
  <c r="S34" i="4" s="1"/>
  <c r="X53" i="4"/>
  <c r="V49" i="4"/>
  <c r="AE11" i="4"/>
  <c r="C25" i="4"/>
  <c r="S25" i="4" s="1"/>
  <c r="C38" i="4"/>
  <c r="S38" i="4" s="1"/>
  <c r="S55" i="4"/>
  <c r="H35" i="4"/>
  <c r="W35" i="4" s="1"/>
  <c r="C39" i="4"/>
  <c r="S39" i="4" s="1"/>
  <c r="C35" i="4"/>
  <c r="S35" i="4" s="1"/>
  <c r="D38" i="4"/>
  <c r="T38" i="4" s="1"/>
  <c r="D42" i="4"/>
  <c r="T42" i="4" s="1"/>
  <c r="C40" i="4"/>
  <c r="S40" i="4" s="1"/>
  <c r="D35" i="4"/>
  <c r="T35" i="4" s="1"/>
  <c r="T52" i="4"/>
  <c r="D27" i="4"/>
  <c r="T27" i="4" s="1"/>
  <c r="D43" i="4"/>
  <c r="T43" i="4" s="1"/>
  <c r="H43" i="4"/>
  <c r="W43" i="4" s="1"/>
  <c r="F24" i="4"/>
  <c r="V24" i="4" s="1"/>
  <c r="T50" i="4"/>
  <c r="D24" i="4"/>
  <c r="T24" i="4" s="1"/>
  <c r="D39" i="4"/>
  <c r="T39" i="4" s="1"/>
  <c r="S52" i="4"/>
  <c r="C27" i="4"/>
  <c r="S27" i="4" s="1"/>
  <c r="C43" i="4"/>
  <c r="S43" i="4" s="1"/>
  <c r="F31" i="4"/>
  <c r="V31" i="4" s="1"/>
  <c r="V54" i="4"/>
  <c r="AF25" i="4"/>
  <c r="B30" i="3" s="1"/>
  <c r="X56" i="4"/>
  <c r="AF28" i="4"/>
  <c r="B33" i="3" s="1"/>
  <c r="AF26" i="4"/>
  <c r="B31" i="3" s="1"/>
  <c r="X62" i="4" l="1"/>
  <c r="E55" i="4"/>
  <c r="D32" i="4"/>
  <c r="T32" i="4" s="1"/>
  <c r="V63" i="4"/>
  <c r="I63" i="4"/>
  <c r="P65" i="4" s="1"/>
  <c r="D40" i="4"/>
  <c r="T40" i="4" s="1"/>
  <c r="D28" i="4"/>
  <c r="D44" i="4"/>
  <c r="T44" i="4" s="1"/>
  <c r="N61" i="6"/>
  <c r="B2" i="8" s="1"/>
  <c r="B28" i="8" s="1"/>
  <c r="F28" i="8" s="1"/>
  <c r="I26" i="4"/>
  <c r="X26" i="4" s="1"/>
  <c r="I30" i="4"/>
  <c r="X30" i="4" s="1"/>
  <c r="X51" i="4"/>
  <c r="D25" i="4"/>
  <c r="T25" i="4" s="1"/>
  <c r="H55" i="4"/>
  <c r="F52" i="4"/>
  <c r="F27" i="4" s="1"/>
  <c r="V27" i="4" s="1"/>
  <c r="H39" i="4"/>
  <c r="W39" i="4" s="1"/>
  <c r="E52" i="4"/>
  <c r="E39" i="4" s="1"/>
  <c r="U39" i="4" s="1"/>
  <c r="X49" i="4"/>
  <c r="I23" i="4"/>
  <c r="X23" i="4" s="1"/>
  <c r="H27" i="4"/>
  <c r="W27" i="4" s="1"/>
  <c r="W52" i="4"/>
  <c r="T55" i="4"/>
  <c r="D34" i="4"/>
  <c r="T34" i="4" s="1"/>
  <c r="F35" i="4"/>
  <c r="V35" i="4" s="1"/>
  <c r="E38" i="4"/>
  <c r="U38" i="4" s="1"/>
  <c r="E42" i="4"/>
  <c r="U42" i="4" s="1"/>
  <c r="X50" i="4"/>
  <c r="I24" i="4"/>
  <c r="X24" i="4" s="1"/>
  <c r="G31" i="4"/>
  <c r="G36" i="4"/>
  <c r="I31" i="4"/>
  <c r="X54" i="4"/>
  <c r="E44" i="4"/>
  <c r="U44" i="4" s="1"/>
  <c r="E28" i="4"/>
  <c r="P63" i="4" l="1"/>
  <c r="X63" i="4"/>
  <c r="P60" i="4"/>
  <c r="E36" i="4"/>
  <c r="U36" i="4" s="1"/>
  <c r="E32" i="4"/>
  <c r="U32" i="4" s="1"/>
  <c r="E25" i="4"/>
  <c r="U25" i="4" s="1"/>
  <c r="P61" i="4"/>
  <c r="H40" i="4"/>
  <c r="W40" i="4" s="1"/>
  <c r="H32" i="4"/>
  <c r="W32" i="4" s="1"/>
  <c r="F55" i="4"/>
  <c r="F32" i="4" s="1"/>
  <c r="V32" i="4" s="1"/>
  <c r="P64" i="4"/>
  <c r="U55" i="4"/>
  <c r="P62" i="4"/>
  <c r="B24" i="8"/>
  <c r="F24" i="8" s="1"/>
  <c r="B17" i="8"/>
  <c r="D17" i="8" s="1"/>
  <c r="D28" i="8"/>
  <c r="B21" i="8"/>
  <c r="E21" i="8" s="1"/>
  <c r="B23" i="8"/>
  <c r="E23" i="8" s="1"/>
  <c r="B54" i="8"/>
  <c r="I54" i="8" s="1"/>
  <c r="B16" i="8"/>
  <c r="C16" i="8" s="1"/>
  <c r="B41" i="8"/>
  <c r="F41" i="8" s="1"/>
  <c r="B26" i="8"/>
  <c r="F26" i="8" s="1"/>
  <c r="B33" i="8"/>
  <c r="D33" i="8" s="1"/>
  <c r="E28" i="8"/>
  <c r="B49" i="8"/>
  <c r="D49" i="8" s="1"/>
  <c r="B18" i="8"/>
  <c r="D18" i="8" s="1"/>
  <c r="B39" i="8"/>
  <c r="H39" i="8" s="1"/>
  <c r="B48" i="8"/>
  <c r="C48" i="8" s="1"/>
  <c r="B19" i="8"/>
  <c r="I19" i="8" s="1"/>
  <c r="B43" i="8"/>
  <c r="F43" i="8" s="1"/>
  <c r="B34" i="8"/>
  <c r="F34" i="8" s="1"/>
  <c r="C28" i="8"/>
  <c r="B44" i="8"/>
  <c r="H44" i="8" s="1"/>
  <c r="B42" i="8"/>
  <c r="G42" i="8" s="1"/>
  <c r="B52" i="8"/>
  <c r="F52" i="8" s="1"/>
  <c r="B51" i="8"/>
  <c r="D51" i="8" s="1"/>
  <c r="B47" i="8"/>
  <c r="D47" i="8" s="1"/>
  <c r="B11" i="8"/>
  <c r="D11" i="8" s="1"/>
  <c r="B36" i="8"/>
  <c r="D36" i="8" s="1"/>
  <c r="B27" i="8"/>
  <c r="F27" i="8" s="1"/>
  <c r="B37" i="8"/>
  <c r="D37" i="8" s="1"/>
  <c r="B53" i="8"/>
  <c r="E53" i="8" s="1"/>
  <c r="B38" i="8"/>
  <c r="F38" i="8" s="1"/>
  <c r="B13" i="8"/>
  <c r="C13" i="8" s="1"/>
  <c r="B14" i="8"/>
  <c r="H14" i="8" s="1"/>
  <c r="B22" i="8"/>
  <c r="D22" i="8" s="1"/>
  <c r="B12" i="8"/>
  <c r="E12" i="8" s="1"/>
  <c r="B31" i="8"/>
  <c r="C31" i="8" s="1"/>
  <c r="B46" i="8"/>
  <c r="F46" i="8" s="1"/>
  <c r="B29" i="8"/>
  <c r="F29" i="8" s="1"/>
  <c r="B32" i="8"/>
  <c r="E32" i="8" s="1"/>
  <c r="F39" i="4"/>
  <c r="V39" i="4" s="1"/>
  <c r="E43" i="4"/>
  <c r="U43" i="4" s="1"/>
  <c r="E35" i="4"/>
  <c r="U35" i="4" s="1"/>
  <c r="H44" i="4"/>
  <c r="W44" i="4" s="1"/>
  <c r="H36" i="4"/>
  <c r="W36" i="4" s="1"/>
  <c r="F36" i="4"/>
  <c r="V36" i="4" s="1"/>
  <c r="F43" i="4"/>
  <c r="V43" i="4" s="1"/>
  <c r="H38" i="4"/>
  <c r="W38" i="4" s="1"/>
  <c r="H28" i="4"/>
  <c r="W28" i="4" s="1"/>
  <c r="E40" i="4"/>
  <c r="U40" i="4" s="1"/>
  <c r="V52" i="4"/>
  <c r="H25" i="4"/>
  <c r="W25" i="4" s="1"/>
  <c r="H34" i="4"/>
  <c r="W34" i="4" s="1"/>
  <c r="W55" i="4"/>
  <c r="I52" i="4"/>
  <c r="I39" i="4" s="1"/>
  <c r="X39" i="4" s="1"/>
  <c r="U52" i="4"/>
  <c r="E27" i="4"/>
  <c r="U27" i="4" s="1"/>
  <c r="E34" i="4"/>
  <c r="U34" i="4" s="1"/>
  <c r="F38" i="4"/>
  <c r="V38" i="4" s="1"/>
  <c r="F42" i="4"/>
  <c r="V42" i="4" s="1"/>
  <c r="X31" i="4"/>
  <c r="F44" i="4"/>
  <c r="V44" i="4" s="1"/>
  <c r="F28" i="4"/>
  <c r="F40" i="4"/>
  <c r="V40" i="4" s="1"/>
  <c r="V55" i="4"/>
  <c r="F25" i="4" l="1"/>
  <c r="V25" i="4" s="1"/>
  <c r="F34" i="4"/>
  <c r="V34" i="4" s="1"/>
  <c r="I55" i="4"/>
  <c r="X55" i="4" s="1"/>
  <c r="G17" i="8"/>
  <c r="AH61" i="4"/>
  <c r="AJ60" i="4"/>
  <c r="AI61" i="4"/>
  <c r="AL60" i="4"/>
  <c r="AM61" i="4"/>
  <c r="AI60" i="4"/>
  <c r="AK61" i="4"/>
  <c r="AK60" i="4"/>
  <c r="O59" i="4"/>
  <c r="AM60" i="4"/>
  <c r="P59" i="4"/>
  <c r="AJ61" i="4"/>
  <c r="AH60" i="4"/>
  <c r="AL61" i="4"/>
  <c r="I36" i="4"/>
  <c r="X36" i="4" s="1"/>
  <c r="I32" i="4"/>
  <c r="H34" i="8"/>
  <c r="G49" i="8"/>
  <c r="F44" i="8"/>
  <c r="D23" i="8"/>
  <c r="I27" i="8"/>
  <c r="E52" i="8"/>
  <c r="F39" i="8"/>
  <c r="F54" i="8"/>
  <c r="D54" i="8"/>
  <c r="G34" i="8"/>
  <c r="G54" i="8"/>
  <c r="C36" i="8"/>
  <c r="I34" i="8"/>
  <c r="C21" i="8"/>
  <c r="H49" i="8"/>
  <c r="I44" i="8"/>
  <c r="C33" i="8"/>
  <c r="E49" i="8"/>
  <c r="E34" i="8"/>
  <c r="F21" i="8"/>
  <c r="I17" i="8"/>
  <c r="F33" i="8"/>
  <c r="E24" i="8"/>
  <c r="E44" i="8"/>
  <c r="E17" i="8"/>
  <c r="H17" i="8"/>
  <c r="E36" i="8"/>
  <c r="D34" i="8"/>
  <c r="F17" i="8"/>
  <c r="D52" i="8"/>
  <c r="F36" i="8"/>
  <c r="E33" i="8"/>
  <c r="D43" i="8"/>
  <c r="I52" i="8"/>
  <c r="G52" i="8"/>
  <c r="D32" i="8"/>
  <c r="E54" i="8"/>
  <c r="G32" i="8"/>
  <c r="E38" i="8"/>
  <c r="D39" i="8"/>
  <c r="G39" i="8"/>
  <c r="I39" i="8"/>
  <c r="D38" i="8"/>
  <c r="C38" i="8"/>
  <c r="B40" i="8"/>
  <c r="E39" i="8"/>
  <c r="H52" i="8"/>
  <c r="H54" i="8"/>
  <c r="E27" i="8"/>
  <c r="H27" i="8"/>
  <c r="G27" i="8"/>
  <c r="D27" i="8"/>
  <c r="F32" i="8"/>
  <c r="C18" i="8"/>
  <c r="C53" i="8"/>
  <c r="I24" i="8"/>
  <c r="G24" i="8"/>
  <c r="F11" i="8"/>
  <c r="H29" i="8"/>
  <c r="E11" i="8"/>
  <c r="E26" i="8"/>
  <c r="C11" i="8"/>
  <c r="D26" i="8"/>
  <c r="H24" i="8"/>
  <c r="D24" i="8"/>
  <c r="F22" i="8"/>
  <c r="C26" i="8"/>
  <c r="E43" i="8"/>
  <c r="C43" i="8"/>
  <c r="C51" i="8"/>
  <c r="H32" i="8"/>
  <c r="E48" i="8"/>
  <c r="G14" i="8"/>
  <c r="E16" i="8"/>
  <c r="F51" i="8"/>
  <c r="E19" i="8"/>
  <c r="E41" i="8"/>
  <c r="C23" i="8"/>
  <c r="F18" i="8"/>
  <c r="B20" i="8"/>
  <c r="H47" i="8"/>
  <c r="I47" i="8"/>
  <c r="G47" i="8"/>
  <c r="D53" i="8"/>
  <c r="E18" i="8"/>
  <c r="C41" i="8"/>
  <c r="F37" i="8"/>
  <c r="F42" i="8"/>
  <c r="D48" i="8"/>
  <c r="H42" i="8"/>
  <c r="G44" i="8"/>
  <c r="F47" i="8"/>
  <c r="D19" i="8"/>
  <c r="E42" i="8"/>
  <c r="H19" i="8"/>
  <c r="G29" i="8"/>
  <c r="H37" i="8"/>
  <c r="I49" i="8"/>
  <c r="E37" i="8"/>
  <c r="E51" i="8"/>
  <c r="D44" i="8"/>
  <c r="F48" i="8"/>
  <c r="D16" i="8"/>
  <c r="I42" i="8"/>
  <c r="D21" i="8"/>
  <c r="G19" i="8"/>
  <c r="B45" i="8"/>
  <c r="F19" i="8"/>
  <c r="I37" i="8"/>
  <c r="B50" i="8"/>
  <c r="F49" i="8"/>
  <c r="D41" i="8"/>
  <c r="F23" i="8"/>
  <c r="D42" i="8"/>
  <c r="D14" i="8"/>
  <c r="F16" i="8"/>
  <c r="E47" i="8"/>
  <c r="F14" i="8"/>
  <c r="I12" i="8"/>
  <c r="B25" i="8"/>
  <c r="H22" i="8"/>
  <c r="G22" i="8"/>
  <c r="I22" i="8"/>
  <c r="G12" i="8"/>
  <c r="E22" i="8"/>
  <c r="I32" i="8"/>
  <c r="I14" i="8"/>
  <c r="E46" i="8"/>
  <c r="G37" i="8"/>
  <c r="F12" i="8"/>
  <c r="D12" i="8"/>
  <c r="D46" i="8"/>
  <c r="E14" i="8"/>
  <c r="C46" i="8"/>
  <c r="H12" i="8"/>
  <c r="F31" i="8"/>
  <c r="D31" i="8"/>
  <c r="E31" i="8"/>
  <c r="B35" i="8"/>
  <c r="F53" i="8"/>
  <c r="D13" i="8"/>
  <c r="E29" i="8"/>
  <c r="E13" i="8"/>
  <c r="B55" i="8"/>
  <c r="B30" i="8"/>
  <c r="B15" i="8"/>
  <c r="F13" i="8"/>
  <c r="I29" i="8"/>
  <c r="D29" i="8"/>
  <c r="I43" i="4"/>
  <c r="X43" i="4" s="1"/>
  <c r="I35" i="4"/>
  <c r="X35" i="4" s="1"/>
  <c r="I27" i="4"/>
  <c r="X27" i="4" s="1"/>
  <c r="X52" i="4"/>
  <c r="G38" i="4"/>
  <c r="G42" i="4"/>
  <c r="I38" i="4"/>
  <c r="X38" i="4" s="1"/>
  <c r="I42" i="4"/>
  <c r="X42" i="4" s="1"/>
  <c r="G44" i="4"/>
  <c r="G40" i="4"/>
  <c r="G28" i="4"/>
  <c r="P53" i="4"/>
  <c r="I44" i="4"/>
  <c r="I28" i="4"/>
  <c r="X28" i="4" s="1"/>
  <c r="P54" i="4"/>
  <c r="I40" i="4"/>
  <c r="P57" i="4"/>
  <c r="G34" i="4"/>
  <c r="G25" i="4"/>
  <c r="P49" i="4"/>
  <c r="P56" i="4"/>
  <c r="P50" i="4"/>
  <c r="P51" i="4"/>
  <c r="P52" i="4"/>
  <c r="I34" i="4" l="1"/>
  <c r="X34" i="4" s="1"/>
  <c r="P55" i="4"/>
  <c r="P47" i="4" s="1"/>
  <c r="I25" i="4"/>
  <c r="P23" i="4" s="1"/>
  <c r="AE60" i="4"/>
  <c r="AF65" i="4" s="1"/>
  <c r="X32" i="4"/>
  <c r="P30" i="4"/>
  <c r="P32" i="4"/>
  <c r="P31" i="4"/>
  <c r="P39" i="4"/>
  <c r="P38" i="4"/>
  <c r="P40" i="4"/>
  <c r="X40" i="4"/>
  <c r="P42" i="4"/>
  <c r="P43" i="4"/>
  <c r="X44" i="4"/>
  <c r="P44" i="4"/>
  <c r="X25" i="4"/>
  <c r="P26" i="4"/>
  <c r="P27" i="4"/>
  <c r="P28" i="4"/>
  <c r="P35" i="4"/>
  <c r="P34" i="4" l="1"/>
  <c r="P36" i="4"/>
  <c r="AI35" i="4" s="1"/>
  <c r="P24" i="4"/>
  <c r="P25" i="4"/>
  <c r="AL25" i="4" s="1"/>
  <c r="O47" i="4"/>
  <c r="AF63" i="4"/>
  <c r="AI63" i="4" s="1"/>
  <c r="AF64" i="4"/>
  <c r="AI64" i="4" s="1"/>
  <c r="AF62" i="4"/>
  <c r="AK62" i="4" s="1"/>
  <c r="AJ65" i="4"/>
  <c r="AL65" i="4"/>
  <c r="AH65" i="4"/>
  <c r="AM65" i="4"/>
  <c r="AK65" i="4"/>
  <c r="AI65" i="4"/>
  <c r="AM31" i="4"/>
  <c r="AI31" i="4"/>
  <c r="AL30" i="4"/>
  <c r="AI32" i="4"/>
  <c r="AL31" i="4"/>
  <c r="AH31" i="4"/>
  <c r="AK30" i="4"/>
  <c r="AH32" i="4"/>
  <c r="AM32" i="4"/>
  <c r="AJ30" i="4"/>
  <c r="AM30" i="4"/>
  <c r="AH30" i="4"/>
  <c r="AJ31" i="4"/>
  <c r="AI30" i="4"/>
  <c r="AK32" i="4"/>
  <c r="AL32" i="4"/>
  <c r="AJ32" i="4"/>
  <c r="AK31" i="4"/>
  <c r="AL44" i="4"/>
  <c r="AE49" i="4"/>
  <c r="AJ43" i="4"/>
  <c r="AB29" i="3" s="1"/>
  <c r="AM43" i="4"/>
  <c r="AH44" i="4"/>
  <c r="AM44" i="4"/>
  <c r="AK42" i="4"/>
  <c r="AH43" i="4"/>
  <c r="AI44" i="4"/>
  <c r="AH42" i="4"/>
  <c r="Z28" i="3" s="1"/>
  <c r="AL43" i="4"/>
  <c r="AD29" i="3" s="1"/>
  <c r="AM42" i="4"/>
  <c r="AK44" i="4"/>
  <c r="AC30" i="3" s="1"/>
  <c r="AI42" i="4"/>
  <c r="AJ42" i="4"/>
  <c r="AJ44" i="4"/>
  <c r="AL42" i="4"/>
  <c r="AD28" i="3" s="1"/>
  <c r="AK43" i="4"/>
  <c r="AI43" i="4"/>
  <c r="AI40" i="4"/>
  <c r="O30" i="3" s="1"/>
  <c r="AJ39" i="4"/>
  <c r="P29" i="3" s="1"/>
  <c r="AJ40" i="4"/>
  <c r="P30" i="3" s="1"/>
  <c r="AI39" i="4"/>
  <c r="O29" i="3" s="1"/>
  <c r="AM39" i="4"/>
  <c r="S29" i="3" s="1"/>
  <c r="AI38" i="4"/>
  <c r="O28" i="3" s="1"/>
  <c r="AJ38" i="4"/>
  <c r="P28" i="3" s="1"/>
  <c r="AH39" i="4"/>
  <c r="N29" i="3" s="1"/>
  <c r="AM40" i="4"/>
  <c r="S30" i="3" s="1"/>
  <c r="AM38" i="4"/>
  <c r="S28" i="3" s="1"/>
  <c r="AL39" i="4"/>
  <c r="R29" i="3" s="1"/>
  <c r="AH38" i="4"/>
  <c r="N28" i="3" s="1"/>
  <c r="AL40" i="4"/>
  <c r="R30" i="3" s="1"/>
  <c r="AK38" i="4"/>
  <c r="Q28" i="3" s="1"/>
  <c r="AL38" i="4"/>
  <c r="R28" i="3" s="1"/>
  <c r="AK40" i="4"/>
  <c r="Q30" i="3" s="1"/>
  <c r="AH40" i="4"/>
  <c r="N30" i="3" s="1"/>
  <c r="AK39" i="4"/>
  <c r="Q29" i="3" s="1"/>
  <c r="AH35" i="4"/>
  <c r="AJ34" i="4"/>
  <c r="AI36" i="4"/>
  <c r="AI34" i="4"/>
  <c r="AK35" i="4"/>
  <c r="AJ35" i="4"/>
  <c r="AM34" i="4"/>
  <c r="AH34" i="4"/>
  <c r="AK34" i="4"/>
  <c r="AK36" i="4"/>
  <c r="AM36" i="4"/>
  <c r="AL34" i="4"/>
  <c r="AJ36" i="4"/>
  <c r="AJ23" i="4"/>
  <c r="AL23" i="4"/>
  <c r="AM27" i="4"/>
  <c r="AK23" i="4"/>
  <c r="AI25" i="4"/>
  <c r="AM25" i="4"/>
  <c r="AI23" i="4"/>
  <c r="AM23" i="4"/>
  <c r="AK25" i="4"/>
  <c r="AH23" i="4"/>
  <c r="AH25" i="4"/>
  <c r="AM28" i="4" l="1"/>
  <c r="AJ25" i="4"/>
  <c r="AH28" i="4"/>
  <c r="AK26" i="4"/>
  <c r="AM26" i="4"/>
  <c r="AI26" i="4"/>
  <c r="AL35" i="4"/>
  <c r="AM35" i="4"/>
  <c r="H29" i="3" s="1"/>
  <c r="AH26" i="4"/>
  <c r="AL36" i="4"/>
  <c r="AJ27" i="4"/>
  <c r="AJ24" i="4"/>
  <c r="AI24" i="4"/>
  <c r="AM24" i="4"/>
  <c r="AH24" i="4"/>
  <c r="AL28" i="4"/>
  <c r="AJ26" i="4"/>
  <c r="AL24" i="4"/>
  <c r="AI28" i="4"/>
  <c r="AI27" i="4"/>
  <c r="AH27" i="4"/>
  <c r="AL26" i="4"/>
  <c r="AK27" i="4"/>
  <c r="AL27" i="4"/>
  <c r="AK28" i="4"/>
  <c r="AK24" i="4"/>
  <c r="AJ28" i="4"/>
  <c r="AH36" i="4"/>
  <c r="AM62" i="4"/>
  <c r="AH63" i="4"/>
  <c r="AL63" i="4"/>
  <c r="AH64" i="4"/>
  <c r="AI62" i="4"/>
  <c r="AJ62" i="4"/>
  <c r="AL62" i="4"/>
  <c r="AH62" i="4"/>
  <c r="AA30" i="3"/>
  <c r="AK63" i="4"/>
  <c r="AJ63" i="4"/>
  <c r="AM63" i="4"/>
  <c r="AJ64" i="4"/>
  <c r="AE29" i="3"/>
  <c r="AE28" i="3"/>
  <c r="AL64" i="4"/>
  <c r="AM64" i="4"/>
  <c r="AK64" i="4"/>
  <c r="AA29" i="3"/>
  <c r="AC29" i="3"/>
  <c r="AB28" i="3"/>
  <c r="AE30" i="3"/>
  <c r="AB30" i="3"/>
  <c r="AA28" i="3"/>
  <c r="Z29" i="3"/>
  <c r="AC28" i="3"/>
  <c r="Z30" i="3"/>
  <c r="AD30" i="3"/>
  <c r="G31" i="3"/>
  <c r="H31" i="3"/>
  <c r="F32" i="3"/>
  <c r="G32" i="3"/>
  <c r="H33" i="3"/>
  <c r="AF55" i="4"/>
  <c r="AJ37" i="3" s="1"/>
  <c r="B13" i="7" s="1"/>
  <c r="AF50" i="4"/>
  <c r="AJ32" i="3" s="1"/>
  <c r="B8" i="7" s="1"/>
  <c r="AF49" i="4"/>
  <c r="AJ31" i="3" s="1"/>
  <c r="B7" i="7" s="1"/>
  <c r="AF52" i="4"/>
  <c r="AJ34" i="3" s="1"/>
  <c r="B10" i="7" s="1"/>
  <c r="AF51" i="4"/>
  <c r="AJ33" i="3" s="1"/>
  <c r="B9" i="7" s="1"/>
  <c r="AF57" i="4"/>
  <c r="AJ39" i="3" s="1"/>
  <c r="B15" i="7" s="1"/>
  <c r="F33" i="3"/>
  <c r="AF53" i="4"/>
  <c r="AH53" i="4" s="1"/>
  <c r="G28" i="3"/>
  <c r="AF56" i="4"/>
  <c r="AH56" i="4" s="1"/>
  <c r="AF54" i="4"/>
  <c r="AH54" i="4" s="1"/>
  <c r="G33" i="3"/>
  <c r="H32" i="3"/>
  <c r="C28" i="3"/>
  <c r="F31" i="3"/>
  <c r="D30" i="3"/>
  <c r="F28" i="3"/>
  <c r="D28" i="3"/>
  <c r="G29" i="3"/>
  <c r="H28" i="3"/>
  <c r="E28" i="3"/>
  <c r="E30" i="3"/>
  <c r="E29" i="3"/>
  <c r="C29" i="3"/>
  <c r="C30" i="3"/>
  <c r="H30" i="3"/>
  <c r="D29" i="3"/>
  <c r="G30" i="3"/>
  <c r="F30" i="3"/>
  <c r="F29" i="3"/>
  <c r="AH49" i="4" l="1"/>
  <c r="AH57" i="4"/>
  <c r="AK39" i="3" s="1"/>
  <c r="AH55" i="4"/>
  <c r="AK37" i="3" s="1"/>
  <c r="AQ37" i="3" s="1"/>
  <c r="L13" i="7" s="1"/>
  <c r="AH51" i="4"/>
  <c r="AK33" i="3" s="1"/>
  <c r="AH52" i="4"/>
  <c r="AK34" i="3" s="1"/>
  <c r="AH50" i="4"/>
  <c r="AM50" i="4" s="1"/>
  <c r="AL32" i="3" s="1"/>
  <c r="G8" i="7" s="1"/>
  <c r="AK36" i="3"/>
  <c r="AL54" i="4"/>
  <c r="AP36" i="3" s="1"/>
  <c r="AK54" i="4"/>
  <c r="AO36" i="3" s="1"/>
  <c r="AJ54" i="4"/>
  <c r="AN36" i="3" s="1"/>
  <c r="F12" i="7" s="1"/>
  <c r="AI54" i="4"/>
  <c r="AM36" i="3" s="1"/>
  <c r="E12" i="7" s="1"/>
  <c r="AM54" i="4"/>
  <c r="AL36" i="3" s="1"/>
  <c r="G12" i="7" s="1"/>
  <c r="AM56" i="4"/>
  <c r="AL38" i="3" s="1"/>
  <c r="G14" i="7" s="1"/>
  <c r="AL56" i="4"/>
  <c r="AP38" i="3" s="1"/>
  <c r="AK56" i="4"/>
  <c r="AO38" i="3" s="1"/>
  <c r="AJ56" i="4"/>
  <c r="AN38" i="3" s="1"/>
  <c r="F14" i="7" s="1"/>
  <c r="AI56" i="4"/>
  <c r="AM38" i="3" s="1"/>
  <c r="E14" i="7" s="1"/>
  <c r="AK53" i="4"/>
  <c r="AO35" i="3" s="1"/>
  <c r="AJ53" i="4"/>
  <c r="AN35" i="3" s="1"/>
  <c r="F11" i="7" s="1"/>
  <c r="AI53" i="4"/>
  <c r="AM35" i="3" s="1"/>
  <c r="E11" i="7" s="1"/>
  <c r="AM53" i="4"/>
  <c r="AL35" i="3" s="1"/>
  <c r="G11" i="7" s="1"/>
  <c r="AL53" i="4"/>
  <c r="AP35" i="3" s="1"/>
  <c r="AK35" i="3"/>
  <c r="AJ35" i="3"/>
  <c r="B11" i="7" s="1"/>
  <c r="AJ38" i="3"/>
  <c r="B14" i="7" s="1"/>
  <c r="AK38" i="3"/>
  <c r="AJ36" i="3"/>
  <c r="B12" i="7" s="1"/>
  <c r="AS36" i="3" l="1"/>
  <c r="O12" i="7" s="1"/>
  <c r="AR36" i="3"/>
  <c r="N12" i="7" s="1"/>
  <c r="AR35" i="3"/>
  <c r="N11" i="7" s="1"/>
  <c r="AS35" i="3"/>
  <c r="O11" i="7" s="1"/>
  <c r="AR38" i="3"/>
  <c r="N14" i="7" s="1"/>
  <c r="AS38" i="3"/>
  <c r="O14" i="7" s="1"/>
  <c r="C11" i="7"/>
  <c r="AT35" i="3"/>
  <c r="R11" i="7" s="1"/>
  <c r="AU35" i="3"/>
  <c r="S11" i="7" s="1"/>
  <c r="AQ36" i="3"/>
  <c r="L12" i="7" s="1"/>
  <c r="AU36" i="3"/>
  <c r="S12" i="7" s="1"/>
  <c r="AT36" i="3"/>
  <c r="R12" i="7" s="1"/>
  <c r="C10" i="7"/>
  <c r="AU34" i="3"/>
  <c r="S10" i="7" s="1"/>
  <c r="AT34" i="3"/>
  <c r="R10" i="7" s="1"/>
  <c r="AQ33" i="3"/>
  <c r="L9" i="7" s="1"/>
  <c r="AT33" i="3"/>
  <c r="R9" i="7" s="1"/>
  <c r="AU33" i="3"/>
  <c r="S9" i="7" s="1"/>
  <c r="C13" i="7"/>
  <c r="AT37" i="3"/>
  <c r="R13" i="7" s="1"/>
  <c r="AU37" i="3"/>
  <c r="S13" i="7" s="1"/>
  <c r="AQ38" i="3"/>
  <c r="L14" i="7" s="1"/>
  <c r="AU38" i="3"/>
  <c r="S14" i="7" s="1"/>
  <c r="AT38" i="3"/>
  <c r="R14" i="7" s="1"/>
  <c r="AQ39" i="3"/>
  <c r="L15" i="7" s="1"/>
  <c r="AT39" i="3"/>
  <c r="R15" i="7" s="1"/>
  <c r="AU39" i="3"/>
  <c r="S15" i="7" s="1"/>
  <c r="AM49" i="4"/>
  <c r="AL31" i="3" s="1"/>
  <c r="G7" i="7" s="1"/>
  <c r="AI49" i="4"/>
  <c r="AM31" i="3" s="1"/>
  <c r="E7" i="7" s="1"/>
  <c r="C15" i="7"/>
  <c r="AJ57" i="4"/>
  <c r="AN39" i="3" s="1"/>
  <c r="F15" i="7" s="1"/>
  <c r="AK57" i="4"/>
  <c r="AO39" i="3" s="1"/>
  <c r="AM57" i="4"/>
  <c r="AL39" i="3" s="1"/>
  <c r="G15" i="7" s="1"/>
  <c r="AL49" i="4"/>
  <c r="AP31" i="3" s="1"/>
  <c r="AI57" i="4"/>
  <c r="AM39" i="3" s="1"/>
  <c r="E15" i="7" s="1"/>
  <c r="AL57" i="4"/>
  <c r="AP39" i="3" s="1"/>
  <c r="AM55" i="4"/>
  <c r="AL37" i="3" s="1"/>
  <c r="G13" i="7" s="1"/>
  <c r="AI55" i="4"/>
  <c r="AM37" i="3" s="1"/>
  <c r="E13" i="7" s="1"/>
  <c r="AJ55" i="4"/>
  <c r="AN37" i="3" s="1"/>
  <c r="F13" i="7" s="1"/>
  <c r="AK55" i="4"/>
  <c r="AO37" i="3" s="1"/>
  <c r="AL55" i="4"/>
  <c r="AP37" i="3" s="1"/>
  <c r="AJ50" i="4"/>
  <c r="AN32" i="3" s="1"/>
  <c r="F8" i="7" s="1"/>
  <c r="AK32" i="3"/>
  <c r="AI50" i="4"/>
  <c r="AM32" i="3" s="1"/>
  <c r="E8" i="7" s="1"/>
  <c r="AL51" i="4"/>
  <c r="AP33" i="3" s="1"/>
  <c r="AK50" i="4"/>
  <c r="AO32" i="3" s="1"/>
  <c r="AI51" i="4"/>
  <c r="AM33" i="3" s="1"/>
  <c r="E9" i="7" s="1"/>
  <c r="C9" i="7"/>
  <c r="AL50" i="4"/>
  <c r="AP32" i="3" s="1"/>
  <c r="AK51" i="4"/>
  <c r="AO33" i="3" s="1"/>
  <c r="AJ49" i="4"/>
  <c r="AN31" i="3" s="1"/>
  <c r="F7" i="7" s="1"/>
  <c r="AJ51" i="4"/>
  <c r="AN33" i="3" s="1"/>
  <c r="F9" i="7" s="1"/>
  <c r="AQ34" i="3"/>
  <c r="L10" i="7" s="1"/>
  <c r="AJ52" i="4"/>
  <c r="AN34" i="3" s="1"/>
  <c r="F10" i="7" s="1"/>
  <c r="AK49" i="4"/>
  <c r="AO31" i="3" s="1"/>
  <c r="AK31" i="3"/>
  <c r="AI52" i="4"/>
  <c r="AM34" i="3" s="1"/>
  <c r="E10" i="7" s="1"/>
  <c r="AM52" i="4"/>
  <c r="AL34" i="3" s="1"/>
  <c r="G10" i="7" s="1"/>
  <c r="AK52" i="4"/>
  <c r="AO34" i="3" s="1"/>
  <c r="AL52" i="4"/>
  <c r="AP34" i="3" s="1"/>
  <c r="AM51" i="4"/>
  <c r="AQ35" i="3"/>
  <c r="L11" i="7" s="1"/>
  <c r="C12" i="7"/>
  <c r="C14" i="7"/>
  <c r="AB49" i="6" l="1"/>
  <c r="AD51" i="6" s="1"/>
  <c r="I12" i="7"/>
  <c r="D12" i="7" s="1"/>
  <c r="AB55" i="6"/>
  <c r="AG55" i="6" s="1"/>
  <c r="I14" i="7"/>
  <c r="D14" i="7" s="1"/>
  <c r="AB40" i="6"/>
  <c r="AG41" i="6" s="1"/>
  <c r="AB43" i="6"/>
  <c r="AC43" i="6" s="1"/>
  <c r="I10" i="7"/>
  <c r="D10" i="7" s="1"/>
  <c r="AB58" i="6"/>
  <c r="AG60" i="6" s="1"/>
  <c r="I15" i="7"/>
  <c r="D15" i="7" s="1"/>
  <c r="AB52" i="6"/>
  <c r="AC54" i="6" s="1"/>
  <c r="I13" i="7"/>
  <c r="D13" i="7" s="1"/>
  <c r="AB46" i="6"/>
  <c r="AE48" i="6" s="1"/>
  <c r="I11" i="7"/>
  <c r="D11" i="7" s="1"/>
  <c r="AC48" i="6"/>
  <c r="Q14" i="7"/>
  <c r="T14" i="7" s="1"/>
  <c r="Q11" i="7"/>
  <c r="T11" i="7" s="1"/>
  <c r="Q15" i="7"/>
  <c r="T15" i="7" s="1"/>
  <c r="AR33" i="3"/>
  <c r="N9" i="7" s="1"/>
  <c r="AS33" i="3"/>
  <c r="O9" i="7" s="1"/>
  <c r="Q10" i="7"/>
  <c r="T10" i="7" s="1"/>
  <c r="AS32" i="3"/>
  <c r="O8" i="7" s="1"/>
  <c r="AR32" i="3"/>
  <c r="N8" i="7" s="1"/>
  <c r="AR37" i="3"/>
  <c r="N13" i="7" s="1"/>
  <c r="AS37" i="3"/>
  <c r="O13" i="7" s="1"/>
  <c r="AS39" i="3"/>
  <c r="O15" i="7" s="1"/>
  <c r="AR39" i="3"/>
  <c r="N15" i="7" s="1"/>
  <c r="Q13" i="7"/>
  <c r="T13" i="7" s="1"/>
  <c r="Q12" i="7"/>
  <c r="T12" i="7" s="1"/>
  <c r="AR31" i="3"/>
  <c r="N7" i="7" s="1"/>
  <c r="AS31" i="3"/>
  <c r="O7" i="7" s="1"/>
  <c r="AS34" i="3"/>
  <c r="O10" i="7" s="1"/>
  <c r="AR34" i="3"/>
  <c r="N10" i="7" s="1"/>
  <c r="Q9" i="7"/>
  <c r="T9" i="7" s="1"/>
  <c r="AD60" i="6"/>
  <c r="AQ31" i="3"/>
  <c r="L7" i="7" s="1"/>
  <c r="AT31" i="3"/>
  <c r="R7" i="7" s="1"/>
  <c r="AU31" i="3"/>
  <c r="S7" i="7" s="1"/>
  <c r="AQ32" i="3"/>
  <c r="L8" i="7" s="1"/>
  <c r="AU32" i="3"/>
  <c r="S8" i="7" s="1"/>
  <c r="AT32" i="3"/>
  <c r="R8" i="7" s="1"/>
  <c r="C8" i="7"/>
  <c r="AL33" i="3"/>
  <c r="G9" i="7" s="1"/>
  <c r="C7" i="7"/>
  <c r="AG52" i="6"/>
  <c r="AF49" i="6"/>
  <c r="AF52" i="6" l="1"/>
  <c r="AE59" i="6"/>
  <c r="AC57" i="6"/>
  <c r="AD41" i="6"/>
  <c r="AC53" i="6"/>
  <c r="AC60" i="6"/>
  <c r="AD49" i="6"/>
  <c r="AD56" i="6"/>
  <c r="AF42" i="6"/>
  <c r="AH51" i="6"/>
  <c r="AF51" i="6"/>
  <c r="AI49" i="6"/>
  <c r="AE53" i="6"/>
  <c r="AH53" i="6"/>
  <c r="AF57" i="6"/>
  <c r="AD57" i="6"/>
  <c r="AG57" i="6"/>
  <c r="AC40" i="6"/>
  <c r="AF40" i="6"/>
  <c r="AH42" i="6"/>
  <c r="AG59" i="6"/>
  <c r="AD59" i="6"/>
  <c r="AG51" i="6"/>
  <c r="AE51" i="6"/>
  <c r="AH49" i="6"/>
  <c r="AF50" i="6"/>
  <c r="AH50" i="6"/>
  <c r="AC50" i="6"/>
  <c r="AI54" i="6"/>
  <c r="AD52" i="6"/>
  <c r="AC52" i="6"/>
  <c r="AH52" i="6"/>
  <c r="AD53" i="6"/>
  <c r="AI56" i="6"/>
  <c r="AH56" i="6"/>
  <c r="AC55" i="6"/>
  <c r="AE55" i="6"/>
  <c r="AG56" i="6"/>
  <c r="AC42" i="6"/>
  <c r="AC41" i="6"/>
  <c r="AF41" i="6"/>
  <c r="AH40" i="6"/>
  <c r="AI42" i="6"/>
  <c r="AG58" i="6"/>
  <c r="AF60" i="6"/>
  <c r="AC58" i="6"/>
  <c r="AE58" i="6"/>
  <c r="AI58" i="6"/>
  <c r="AI50" i="6"/>
  <c r="AE50" i="6"/>
  <c r="AC51" i="6"/>
  <c r="AI51" i="6"/>
  <c r="AG49" i="6"/>
  <c r="AD50" i="6"/>
  <c r="AE49" i="6"/>
  <c r="AC49" i="6"/>
  <c r="AG50" i="6"/>
  <c r="AE52" i="6"/>
  <c r="AI53" i="6"/>
  <c r="AE54" i="6"/>
  <c r="AG54" i="6"/>
  <c r="AF53" i="6"/>
  <c r="AD54" i="6"/>
  <c r="AH54" i="6"/>
  <c r="AI52" i="6"/>
  <c r="AL52" i="6" s="1"/>
  <c r="AG53" i="6"/>
  <c r="AF54" i="6"/>
  <c r="AI55" i="6"/>
  <c r="AH57" i="6"/>
  <c r="AI57" i="6"/>
  <c r="AF55" i="6"/>
  <c r="AC56" i="6"/>
  <c r="AD55" i="6"/>
  <c r="AF56" i="6"/>
  <c r="AE57" i="6"/>
  <c r="AE56" i="6"/>
  <c r="AH55" i="6"/>
  <c r="AK55" i="6" s="1"/>
  <c r="AD40" i="6"/>
  <c r="AG40" i="6"/>
  <c r="AE40" i="6"/>
  <c r="AD42" i="6"/>
  <c r="AG42" i="6"/>
  <c r="AI41" i="6"/>
  <c r="AH41" i="6"/>
  <c r="AE41" i="6"/>
  <c r="AI40" i="6"/>
  <c r="AE42" i="6"/>
  <c r="AE60" i="6"/>
  <c r="AH60" i="6"/>
  <c r="AH58" i="6"/>
  <c r="AI59" i="6"/>
  <c r="AH59" i="6"/>
  <c r="AI60" i="6"/>
  <c r="AC59" i="6"/>
  <c r="AF59" i="6"/>
  <c r="AD58" i="6"/>
  <c r="AF58" i="6"/>
  <c r="AI46" i="6"/>
  <c r="AH47" i="6"/>
  <c r="AE44" i="6"/>
  <c r="AF43" i="6"/>
  <c r="AG48" i="6"/>
  <c r="AE46" i="6"/>
  <c r="AG46" i="6"/>
  <c r="AC47" i="6"/>
  <c r="AE47" i="6"/>
  <c r="AC46" i="6"/>
  <c r="AG47" i="6"/>
  <c r="AI47" i="6"/>
  <c r="AF48" i="6"/>
  <c r="AD47" i="6"/>
  <c r="AH48" i="6"/>
  <c r="AH46" i="6"/>
  <c r="AF46" i="6"/>
  <c r="AD48" i="6"/>
  <c r="AD46" i="6"/>
  <c r="AF47" i="6"/>
  <c r="AD45" i="6"/>
  <c r="AF45" i="6"/>
  <c r="AG45" i="6"/>
  <c r="AI43" i="6"/>
  <c r="AE43" i="6"/>
  <c r="AI44" i="6"/>
  <c r="AD43" i="6"/>
  <c r="AI45" i="6"/>
  <c r="AB37" i="6"/>
  <c r="AC38" i="6" s="1"/>
  <c r="AH43" i="6"/>
  <c r="AH44" i="6"/>
  <c r="AE45" i="6"/>
  <c r="AG44" i="6"/>
  <c r="AH45" i="6"/>
  <c r="AC44" i="6"/>
  <c r="AC45" i="6"/>
  <c r="AI48" i="6"/>
  <c r="AG43" i="6"/>
  <c r="AF44" i="6"/>
  <c r="AD44" i="6"/>
  <c r="AB34" i="6"/>
  <c r="Q8" i="7"/>
  <c r="T8" i="7" s="1"/>
  <c r="Q7" i="7"/>
  <c r="T7" i="7" s="1"/>
  <c r="AD37" i="6"/>
  <c r="AH38" i="6"/>
  <c r="AD38" i="6"/>
  <c r="AK49" i="6" l="1"/>
  <c r="AJ58" i="6"/>
  <c r="AK40" i="6"/>
  <c r="AK52" i="6"/>
  <c r="AC39" i="6"/>
  <c r="AE38" i="6"/>
  <c r="AF34" i="6"/>
  <c r="AJ49" i="6"/>
  <c r="AJ46" i="6"/>
  <c r="AJ40" i="6"/>
  <c r="I9" i="7" s="1"/>
  <c r="D9" i="7" s="1"/>
  <c r="AL55" i="6"/>
  <c r="AL49" i="6"/>
  <c r="AJ55" i="6"/>
  <c r="AE37" i="6"/>
  <c r="AG38" i="6"/>
  <c r="AH37" i="6"/>
  <c r="AG37" i="6"/>
  <c r="AF38" i="6"/>
  <c r="AL58" i="6"/>
  <c r="AK58" i="6"/>
  <c r="AL40" i="6"/>
  <c r="AJ52" i="6"/>
  <c r="AK46" i="6"/>
  <c r="AI39" i="6"/>
  <c r="AF39" i="6"/>
  <c r="AC37" i="6"/>
  <c r="AF37" i="6"/>
  <c r="AD39" i="6"/>
  <c r="AE39" i="6"/>
  <c r="AH39" i="6"/>
  <c r="AG39" i="6"/>
  <c r="AI38" i="6"/>
  <c r="AI37" i="6"/>
  <c r="AL46" i="6"/>
  <c r="AJ43" i="6"/>
  <c r="AK43" i="6"/>
  <c r="AL43" i="6"/>
  <c r="AF36" i="6"/>
  <c r="AC35" i="6"/>
  <c r="AD35" i="6"/>
  <c r="AG35" i="6"/>
  <c r="AG36" i="6"/>
  <c r="AH34" i="6"/>
  <c r="AC36" i="6"/>
  <c r="AC34" i="6"/>
  <c r="AI36" i="6"/>
  <c r="AD34" i="6"/>
  <c r="AD36" i="6"/>
  <c r="AE36" i="6"/>
  <c r="AG34" i="6"/>
  <c r="AH35" i="6"/>
  <c r="AI34" i="6"/>
  <c r="AE34" i="6"/>
  <c r="AF35" i="6"/>
  <c r="AI35" i="6"/>
  <c r="AE35" i="6"/>
  <c r="AH36" i="6"/>
  <c r="AK37" i="6"/>
  <c r="K15" i="7"/>
  <c r="J15" i="7"/>
  <c r="K14" i="7"/>
  <c r="AL37" i="6" l="1"/>
  <c r="K8" i="7" s="1"/>
  <c r="AJ37" i="6"/>
  <c r="AJ34" i="6"/>
  <c r="AL34" i="6"/>
  <c r="K13" i="7" s="1"/>
  <c r="AK34" i="6"/>
  <c r="J7" i="7" s="1"/>
  <c r="M14" i="7"/>
  <c r="P14" i="7" s="1"/>
  <c r="J11" i="7"/>
  <c r="J14" i="7"/>
  <c r="J13" i="7"/>
  <c r="K9" i="7"/>
  <c r="K11" i="7"/>
  <c r="J12" i="7"/>
  <c r="K12" i="7"/>
  <c r="J10" i="7"/>
  <c r="J8" i="7"/>
  <c r="J9" i="7"/>
  <c r="K10" i="7"/>
  <c r="I7" i="7" l="1"/>
  <c r="D7" i="7" s="1"/>
  <c r="I8" i="7"/>
  <c r="D8" i="7" s="1"/>
  <c r="M15" i="7"/>
  <c r="P15" i="7" s="1"/>
  <c r="K7" i="7"/>
  <c r="M13" i="7"/>
  <c r="P13" i="7" s="1"/>
  <c r="M11" i="7"/>
  <c r="P11" i="7" s="1"/>
  <c r="M9" i="7"/>
  <c r="P9" i="7" s="1"/>
  <c r="M12" i="7"/>
  <c r="P12" i="7" s="1"/>
  <c r="M10" i="7"/>
  <c r="P10" i="7" s="1"/>
  <c r="M7" i="7" l="1"/>
  <c r="P7" i="7" s="1"/>
  <c r="M8" i="7"/>
  <c r="P8" i="7" s="1"/>
</calcChain>
</file>

<file path=xl/sharedStrings.xml><?xml version="1.0" encoding="utf-8"?>
<sst xmlns="http://schemas.openxmlformats.org/spreadsheetml/2006/main" count="1106" uniqueCount="362">
  <si>
    <t>BELLET Alain</t>
  </si>
  <si>
    <t>BONNEFOY Joel</t>
  </si>
  <si>
    <t>BORRACCINO Michel</t>
  </si>
  <si>
    <t>CASTELLS Henri</t>
  </si>
  <si>
    <t>BUCHHEIT Bernard</t>
  </si>
  <si>
    <t>MESA José</t>
  </si>
  <si>
    <t>GOUVERNEL Pierre</t>
  </si>
  <si>
    <t>GEORGES Bertrand</t>
  </si>
  <si>
    <t>BELLINI Jacques</t>
  </si>
  <si>
    <t>FEDERICI Jean</t>
  </si>
  <si>
    <t>JALABERT Jean-Paul</t>
  </si>
  <si>
    <t>KLEIN Christophe</t>
  </si>
  <si>
    <t>FRANCK Pascal</t>
  </si>
  <si>
    <t>CATTIN Gilles</t>
  </si>
  <si>
    <t>CLAUSS Frédéric</t>
  </si>
  <si>
    <t>CADEL Jacques</t>
  </si>
  <si>
    <t>GUCKERT Christian</t>
  </si>
  <si>
    <t>MINDE Benoît</t>
  </si>
  <si>
    <t>REININGER Robert</t>
  </si>
  <si>
    <t>MARCONI Dominique</t>
  </si>
  <si>
    <t>POLEWCZYK Michel</t>
  </si>
  <si>
    <t>LECLERC Philippe</t>
  </si>
  <si>
    <t>CAMPOLI Jean louis</t>
  </si>
  <si>
    <t>DAL CORTIVO Paul</t>
  </si>
  <si>
    <t>DE VREESE Pierre</t>
  </si>
  <si>
    <t>LEGRAND Robert</t>
  </si>
  <si>
    <t>GEORGES Marcel</t>
  </si>
  <si>
    <t>MAILLAT Emmanuel</t>
  </si>
  <si>
    <t>DALLA TORRE Gérard</t>
  </si>
  <si>
    <t>FANK François</t>
  </si>
  <si>
    <t>IANOTTO Joëlle</t>
  </si>
  <si>
    <t>SPAGNOLO Luigi</t>
  </si>
  <si>
    <t>RUZZON Bruno</t>
  </si>
  <si>
    <t>RAVAGLI François</t>
  </si>
  <si>
    <t>FERBACH Jean-Jacques</t>
  </si>
  <si>
    <t>MATHIS Jean</t>
  </si>
  <si>
    <t>MALVAREZ Jean</t>
  </si>
  <si>
    <t>PANCALDI Walter</t>
  </si>
  <si>
    <t>KLEINHENTZ Hubert</t>
  </si>
  <si>
    <t>LAVAINE Fabien</t>
  </si>
  <si>
    <t>LEMONT Sylvain</t>
  </si>
  <si>
    <t>LENA Daniel</t>
  </si>
  <si>
    <t>RAULY Richard</t>
  </si>
  <si>
    <t>POIROT Dominique</t>
  </si>
  <si>
    <t>PARISOT Dominique</t>
  </si>
  <si>
    <t>ROSELLO Guy</t>
  </si>
  <si>
    <t>ODVA Christian</t>
  </si>
  <si>
    <t>TRITZ Herve</t>
  </si>
  <si>
    <t>NGUYEN Van Luan</t>
  </si>
  <si>
    <t>SANTARELLI Gaston</t>
  </si>
  <si>
    <t>BOURY Bernard</t>
  </si>
  <si>
    <t>SCHOEPP Romain</t>
  </si>
  <si>
    <t>RONCK Denis</t>
  </si>
  <si>
    <t>KAISER Guillaume</t>
  </si>
  <si>
    <t>STAMM Jean</t>
  </si>
  <si>
    <t>OSWALD Raymond</t>
  </si>
  <si>
    <t>TOSI Charles</t>
  </si>
  <si>
    <t>SACRISTANI Albert</t>
  </si>
  <si>
    <t>DI LEO François</t>
  </si>
  <si>
    <t>VOYAT Philippe</t>
  </si>
  <si>
    <t>Categories</t>
  </si>
  <si>
    <t>Club organisateur:</t>
  </si>
  <si>
    <t>Date:</t>
  </si>
  <si>
    <t>Compétition:</t>
  </si>
  <si>
    <t>POULE 1</t>
  </si>
  <si>
    <t>POULE 2</t>
  </si>
  <si>
    <t>NOMS Prénoms J1</t>
  </si>
  <si>
    <t>NOMS Prénoms J2</t>
  </si>
  <si>
    <t>NOMS Prénoms J3</t>
  </si>
  <si>
    <t>LN3</t>
  </si>
  <si>
    <t>LR1</t>
  </si>
  <si>
    <t>LR2</t>
  </si>
  <si>
    <t>LR3</t>
  </si>
  <si>
    <t>LR4</t>
  </si>
  <si>
    <t>BN3</t>
  </si>
  <si>
    <t>BR1</t>
  </si>
  <si>
    <t>BR2</t>
  </si>
  <si>
    <t>3BN3</t>
  </si>
  <si>
    <t>3BR1</t>
  </si>
  <si>
    <t>CN3</t>
  </si>
  <si>
    <t>CR1</t>
  </si>
  <si>
    <t>3BR2</t>
  </si>
  <si>
    <t>ListeCompetition</t>
  </si>
  <si>
    <t>ListeClubs</t>
  </si>
  <si>
    <t>LibreN3</t>
  </si>
  <si>
    <t>LibreR1</t>
  </si>
  <si>
    <t>LibreR2</t>
  </si>
  <si>
    <t>LibreR3</t>
  </si>
  <si>
    <t>LibreR4</t>
  </si>
  <si>
    <t>BandeN3</t>
  </si>
  <si>
    <t>BandeR1</t>
  </si>
  <si>
    <t>BandeR2</t>
  </si>
  <si>
    <t>CadreN3</t>
  </si>
  <si>
    <t>CadreR1</t>
  </si>
  <si>
    <t>TroisBandesN3</t>
  </si>
  <si>
    <t>TroisBandesR1</t>
  </si>
  <si>
    <t>TroisBandesR2</t>
  </si>
  <si>
    <t>POULE 3</t>
  </si>
  <si>
    <t>Pts</t>
  </si>
  <si>
    <t>Rep</t>
  </si>
  <si>
    <t>Sér</t>
  </si>
  <si>
    <t>Moy</t>
  </si>
  <si>
    <t>Poule jumelés</t>
  </si>
  <si>
    <t>Poule</t>
  </si>
  <si>
    <t>1 et 2</t>
  </si>
  <si>
    <t>2 et 3</t>
  </si>
  <si>
    <t>Aucune</t>
  </si>
  <si>
    <t>Match 1</t>
  </si>
  <si>
    <t>80 pts/30 rep</t>
  </si>
  <si>
    <t>60 pts/30 rep</t>
  </si>
  <si>
    <t>40 pts/30 rep</t>
  </si>
  <si>
    <t>100 pts/25 rep</t>
  </si>
  <si>
    <t>50 pts/30 rep</t>
  </si>
  <si>
    <t>30 pts/30 rep</t>
  </si>
  <si>
    <t>20 pts/50 rep</t>
  </si>
  <si>
    <t>15 pts/50 rep</t>
  </si>
  <si>
    <t>Match 2</t>
  </si>
  <si>
    <t>3 et 2</t>
  </si>
  <si>
    <t>2 et 2</t>
  </si>
  <si>
    <t>3 et 1</t>
  </si>
  <si>
    <t>POULE JUMELE</t>
  </si>
  <si>
    <t>ok</t>
  </si>
  <si>
    <t>Distance:</t>
  </si>
  <si>
    <t>Format billard:</t>
  </si>
  <si>
    <t>pts</t>
  </si>
  <si>
    <t>rep</t>
  </si>
  <si>
    <t>sér</t>
  </si>
  <si>
    <t>moy</t>
  </si>
  <si>
    <t>FormatBillard</t>
  </si>
  <si>
    <t>2m80</t>
  </si>
  <si>
    <t>3m10</t>
  </si>
  <si>
    <t>2m80 pc</t>
  </si>
  <si>
    <t>2m80 gc</t>
  </si>
  <si>
    <t>Nationale 3</t>
  </si>
  <si>
    <t>N° Licence</t>
  </si>
  <si>
    <t>Nom</t>
  </si>
  <si>
    <t>Moyenne</t>
  </si>
  <si>
    <t>6.750</t>
  </si>
  <si>
    <t>Audun-Villerupt</t>
  </si>
  <si>
    <t>6.630</t>
  </si>
  <si>
    <t>le Ban St. Martin</t>
  </si>
  <si>
    <t>5.960</t>
  </si>
  <si>
    <t>Hagondange</t>
  </si>
  <si>
    <t>5.550</t>
  </si>
  <si>
    <t>5.300</t>
  </si>
  <si>
    <t>Régionale 1</t>
  </si>
  <si>
    <t>5.050</t>
  </si>
  <si>
    <t>Metz</t>
  </si>
  <si>
    <t>5.020</t>
  </si>
  <si>
    <t>Sarreguemines</t>
  </si>
  <si>
    <t>4.900</t>
  </si>
  <si>
    <t>Florange</t>
  </si>
  <si>
    <t>4.510</t>
  </si>
  <si>
    <t>4.480</t>
  </si>
  <si>
    <t>4.230</t>
  </si>
  <si>
    <t>Régionale 2</t>
  </si>
  <si>
    <t>3.560</t>
  </si>
  <si>
    <t>3.390</t>
  </si>
  <si>
    <t>St Avold</t>
  </si>
  <si>
    <t>3.360</t>
  </si>
  <si>
    <t>3.140</t>
  </si>
  <si>
    <t>Gandrange</t>
  </si>
  <si>
    <t>3.090</t>
  </si>
  <si>
    <t>Algrange</t>
  </si>
  <si>
    <t>3.080</t>
  </si>
  <si>
    <t>2.910</t>
  </si>
  <si>
    <t>2.770</t>
  </si>
  <si>
    <t>2.430</t>
  </si>
  <si>
    <t>2.420</t>
  </si>
  <si>
    <t>2.410</t>
  </si>
  <si>
    <t>Magny</t>
  </si>
  <si>
    <t>2.220</t>
  </si>
  <si>
    <t>2.160</t>
  </si>
  <si>
    <t>1.090</t>
  </si>
  <si>
    <t>Thionville</t>
  </si>
  <si>
    <t>Régionale 3</t>
  </si>
  <si>
    <t>2.080</t>
  </si>
  <si>
    <t>1.900</t>
  </si>
  <si>
    <t>1.880</t>
  </si>
  <si>
    <t>1.840</t>
  </si>
  <si>
    <t>1.820</t>
  </si>
  <si>
    <t>1.700</t>
  </si>
  <si>
    <t>1.620</t>
  </si>
  <si>
    <t>1.460</t>
  </si>
  <si>
    <t>1.360</t>
  </si>
  <si>
    <t>1.310</t>
  </si>
  <si>
    <t>Knutange</t>
  </si>
  <si>
    <t>NC</t>
  </si>
  <si>
    <t>Régionale 4</t>
  </si>
  <si>
    <t>1.120</t>
  </si>
  <si>
    <t>1.010</t>
  </si>
  <si>
    <t>0.920</t>
  </si>
  <si>
    <t>0.860</t>
  </si>
  <si>
    <t>Moyeuvre</t>
  </si>
  <si>
    <t>0.790</t>
  </si>
  <si>
    <t>0.730</t>
  </si>
  <si>
    <t>0.670</t>
  </si>
  <si>
    <t>0.530</t>
  </si>
  <si>
    <t>1 bande</t>
  </si>
  <si>
    <t>2.150</t>
  </si>
  <si>
    <t>2.140</t>
  </si>
  <si>
    <t>2.100</t>
  </si>
  <si>
    <t>2.070</t>
  </si>
  <si>
    <t>1.770</t>
  </si>
  <si>
    <t>1.750</t>
  </si>
  <si>
    <t>1.610</t>
  </si>
  <si>
    <t>1.600</t>
  </si>
  <si>
    <t>1.560</t>
  </si>
  <si>
    <t>1.540</t>
  </si>
  <si>
    <t>1.530</t>
  </si>
  <si>
    <t>1.380</t>
  </si>
  <si>
    <t>1.210</t>
  </si>
  <si>
    <t>1.180</t>
  </si>
  <si>
    <t>1.140</t>
  </si>
  <si>
    <t>0.930</t>
  </si>
  <si>
    <t>0.910</t>
  </si>
  <si>
    <t>0.770</t>
  </si>
  <si>
    <t>0.580</t>
  </si>
  <si>
    <t>3 Bandes</t>
  </si>
  <si>
    <t>0.501</t>
  </si>
  <si>
    <t>0.492</t>
  </si>
  <si>
    <t>0.485</t>
  </si>
  <si>
    <t>0.448</t>
  </si>
  <si>
    <t>0.437</t>
  </si>
  <si>
    <t>0.390</t>
  </si>
  <si>
    <t>0.380</t>
  </si>
  <si>
    <t>0.367</t>
  </si>
  <si>
    <t>0.357</t>
  </si>
  <si>
    <t>0.329</t>
  </si>
  <si>
    <t>0.316</t>
  </si>
  <si>
    <t>0.288</t>
  </si>
  <si>
    <t>0.263</t>
  </si>
  <si>
    <t>0.227</t>
  </si>
  <si>
    <t>0.172</t>
  </si>
  <si>
    <t>0.236</t>
  </si>
  <si>
    <t>0.214</t>
  </si>
  <si>
    <t>0.205</t>
  </si>
  <si>
    <t>Cadre</t>
  </si>
  <si>
    <t>5.500</t>
  </si>
  <si>
    <t>5.430</t>
  </si>
  <si>
    <t>5.340</t>
  </si>
  <si>
    <t>4.390</t>
  </si>
  <si>
    <t>4.360</t>
  </si>
  <si>
    <t>3.960</t>
  </si>
  <si>
    <t>3.790</t>
  </si>
  <si>
    <t>3.530</t>
  </si>
  <si>
    <t>3.500</t>
  </si>
  <si>
    <t>3.490</t>
  </si>
  <si>
    <t>3.410</t>
  </si>
  <si>
    <t>3.130</t>
  </si>
  <si>
    <t>3.060</t>
  </si>
  <si>
    <t>2.930</t>
  </si>
  <si>
    <t>2.520</t>
  </si>
  <si>
    <t>2.240</t>
  </si>
  <si>
    <t>2.030</t>
  </si>
  <si>
    <t>2.010</t>
  </si>
  <si>
    <t>1.720</t>
  </si>
  <si>
    <t>1.410</t>
  </si>
  <si>
    <t>5 quilles</t>
  </si>
  <si>
    <t>Nationale 1</t>
  </si>
  <si>
    <t>1.261</t>
  </si>
  <si>
    <t>STORNAIUOLO Francesco</t>
  </si>
  <si>
    <t>1.169</t>
  </si>
  <si>
    <t>1.112</t>
  </si>
  <si>
    <t>CORNEO François</t>
  </si>
  <si>
    <t>0.829</t>
  </si>
  <si>
    <t>0.764</t>
  </si>
  <si>
    <t>9 quilles</t>
  </si>
  <si>
    <t>BEDNAREK Jean-Michel</t>
  </si>
  <si>
    <t>1.704</t>
  </si>
  <si>
    <t>42/2</t>
  </si>
  <si>
    <t>Classement après 1er MATCH</t>
  </si>
  <si>
    <t>ptsM</t>
  </si>
  <si>
    <t>poule</t>
  </si>
  <si>
    <t>Billard:</t>
  </si>
  <si>
    <t>Joueur 1</t>
  </si>
  <si>
    <t>Licence:</t>
  </si>
  <si>
    <t>Pts rep  ser:</t>
  </si>
  <si>
    <t>Joueur 2</t>
  </si>
  <si>
    <t>Pts match:</t>
  </si>
  <si>
    <t>NOM Prénom</t>
  </si>
  <si>
    <t>pts Match</t>
  </si>
  <si>
    <t xml:space="preserve">        Dans FFBsportif:</t>
  </si>
  <si>
    <t>Aide FFBsportif</t>
  </si>
  <si>
    <t>CALCUL CLASSEMENT FINAL</t>
  </si>
  <si>
    <t>de N à Y</t>
  </si>
  <si>
    <t xml:space="preserve">Inscrire tous les matchs dans la même poule </t>
  </si>
  <si>
    <t>G</t>
  </si>
  <si>
    <t>N</t>
  </si>
  <si>
    <t>P</t>
  </si>
  <si>
    <t>MATCH 1</t>
  </si>
  <si>
    <t>MATCH 2</t>
  </si>
  <si>
    <t>MATCH 3</t>
  </si>
  <si>
    <t xml:space="preserve">Forfait tour suivant </t>
  </si>
  <si>
    <t>Forfait général</t>
  </si>
  <si>
    <t>NON Participation au tour suivant</t>
  </si>
  <si>
    <t>Les cases resté vide valide l'engagement au prochain tour</t>
  </si>
  <si>
    <t>Forfait tour suivant</t>
  </si>
  <si>
    <t>T1</t>
  </si>
  <si>
    <t>T2</t>
  </si>
  <si>
    <t>T3</t>
  </si>
  <si>
    <t>Tour</t>
  </si>
  <si>
    <t>FORFAIT</t>
  </si>
  <si>
    <t xml:space="preserve">NOMS Prénoms </t>
  </si>
  <si>
    <t>ListeJoueursPrevu</t>
  </si>
  <si>
    <t>NOMS Prénoms</t>
  </si>
  <si>
    <t>RANG</t>
  </si>
  <si>
    <t>rang</t>
  </si>
  <si>
    <t>0 forfait</t>
  </si>
  <si>
    <t>prévu</t>
  </si>
  <si>
    <t>reste</t>
  </si>
  <si>
    <t>forfait</t>
  </si>
  <si>
    <t>Poule 3</t>
  </si>
  <si>
    <t xml:space="preserve">ATTENTION: Les poules ne sont pas obligatoirement dans l'ordre si il y a des poules jumelées. </t>
  </si>
  <si>
    <t>Cocher la ou les cases des joueurs forfait</t>
  </si>
  <si>
    <t>RESULTATS FINALS</t>
  </si>
  <si>
    <t>à:</t>
  </si>
  <si>
    <t>le:</t>
  </si>
  <si>
    <t>Joueurs convoqués et   RANG</t>
  </si>
  <si>
    <t>Poules définitives</t>
  </si>
  <si>
    <t>Directeur de jeux:</t>
  </si>
  <si>
    <t>Philippe LECLERC</t>
  </si>
  <si>
    <t>Bertrand GEORGES</t>
  </si>
  <si>
    <t>philou57.lp@gmail.com</t>
  </si>
  <si>
    <t>bertrandgeorges17@gmail.com</t>
  </si>
  <si>
    <t>150 pts/20 rep</t>
  </si>
  <si>
    <t>120 pts/25 rep</t>
  </si>
  <si>
    <t>70 pts/30 rep</t>
  </si>
  <si>
    <t>70 pts/25 rep</t>
  </si>
  <si>
    <t>pdalcortivo@gmail.com</t>
  </si>
  <si>
    <t>domtoriop44@gmail.com</t>
  </si>
  <si>
    <t>Paul DAL CORTIVO</t>
  </si>
  <si>
    <t>Dominique POIROT</t>
  </si>
  <si>
    <t>1er Set</t>
  </si>
  <si>
    <t>2ème Set</t>
  </si>
  <si>
    <t>3ème Set</t>
  </si>
  <si>
    <t>S1</t>
  </si>
  <si>
    <t>S2</t>
  </si>
  <si>
    <t>S3</t>
  </si>
  <si>
    <t>Pts Fait</t>
  </si>
  <si>
    <t>Pts Sub</t>
  </si>
  <si>
    <t>Fait</t>
  </si>
  <si>
    <t>Subit</t>
  </si>
  <si>
    <t>Set G</t>
  </si>
  <si>
    <t>Set P</t>
  </si>
  <si>
    <t>J</t>
  </si>
  <si>
    <t>%</t>
  </si>
  <si>
    <t>MATCH</t>
  </si>
  <si>
    <t>SET</t>
  </si>
  <si>
    <t>5 Quilles R1</t>
  </si>
  <si>
    <t>5 Quilles N1</t>
  </si>
  <si>
    <t>2 Sets Gagnants 50 pts</t>
  </si>
  <si>
    <t>2 Sets Gagnants 60 pts</t>
  </si>
  <si>
    <t>BIATHLON</t>
  </si>
  <si>
    <t>10 pts 3B + 5Q  Fin 120 pts</t>
  </si>
  <si>
    <t xml:space="preserve">   (3B 10pts x6)+ Q  = 120pts</t>
  </si>
  <si>
    <t>Pts Match</t>
  </si>
  <si>
    <t>ListeJoueurs</t>
  </si>
  <si>
    <t>T4</t>
  </si>
  <si>
    <t>QUARTA Andréa</t>
  </si>
  <si>
    <t>Italie</t>
  </si>
  <si>
    <t>Championnat individuel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</si>
</sst>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u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FFC000"/>
      <name val="Calibri"/>
      <family val="2"/>
      <scheme val="minor"/>
    </font>
    <font>
      <sz val="11"/>
      <color rgb="FF92D050"/>
      <name val="Calibri"/>
      <family val="2"/>
      <scheme val="minor"/>
    </font>
    <font>
      <sz val="8"/>
      <color rgb="FF92D050"/>
      <name val="Calibri"/>
      <family val="2"/>
      <scheme val="minor"/>
    </font>
    <font>
      <sz val="8"/>
      <color rgb="FF00B0F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0" fillId="0" borderId="0" applyNumberFormat="0" applyFill="0" applyBorder="0" applyAlignment="0" applyProtection="0"/>
    <xf numFmtId="9" fontId="31" fillId="0" borderId="0" applyFont="0" applyFill="0" applyBorder="0" applyAlignment="0" applyProtection="0"/>
  </cellStyleXfs>
  <cellXfs count="25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5" borderId="0" xfId="0" applyFont="1" applyFill="1"/>
    <xf numFmtId="0" fontId="2" fillId="0" borderId="0" xfId="0" applyFont="1" applyAlignment="1">
      <alignment horizontal="left"/>
    </xf>
    <xf numFmtId="0" fontId="0" fillId="5" borderId="0" xfId="0" applyFill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0" fillId="5" borderId="11" xfId="0" applyFill="1" applyBorder="1" applyAlignment="1">
      <alignment horizontal="center"/>
    </xf>
    <xf numFmtId="14" fontId="0" fillId="5" borderId="12" xfId="0" applyNumberForma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0" fillId="4" borderId="11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4" borderId="1" xfId="0" applyFill="1" applyBorder="1"/>
    <xf numFmtId="0" fontId="0" fillId="4" borderId="2" xfId="0" applyFill="1" applyBorder="1"/>
    <xf numFmtId="164" fontId="0" fillId="4" borderId="2" xfId="0" applyNumberFormat="1" applyFill="1" applyBorder="1"/>
    <xf numFmtId="0" fontId="0" fillId="4" borderId="3" xfId="0" applyFill="1" applyBorder="1"/>
    <xf numFmtId="0" fontId="0" fillId="4" borderId="9" xfId="0" applyFill="1" applyBorder="1"/>
    <xf numFmtId="0" fontId="0" fillId="4" borderId="0" xfId="0" applyFill="1"/>
    <xf numFmtId="164" fontId="0" fillId="4" borderId="0" xfId="0" applyNumberFormat="1" applyFill="1"/>
    <xf numFmtId="0" fontId="0" fillId="4" borderId="5" xfId="0" applyFill="1" applyBorder="1"/>
    <xf numFmtId="0" fontId="0" fillId="4" borderId="10" xfId="0" applyFill="1" applyBorder="1"/>
    <xf numFmtId="0" fontId="0" fillId="4" borderId="7" xfId="0" applyFill="1" applyBorder="1"/>
    <xf numFmtId="164" fontId="0" fillId="4" borderId="7" xfId="0" applyNumberFormat="1" applyFill="1" applyBorder="1"/>
    <xf numFmtId="0" fontId="0" fillId="4" borderId="8" xfId="0" applyFill="1" applyBorder="1"/>
    <xf numFmtId="0" fontId="0" fillId="5" borderId="15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3" xfId="0" applyBorder="1" applyAlignment="1">
      <alignment horizontal="center"/>
    </xf>
    <xf numFmtId="0" fontId="2" fillId="5" borderId="0" xfId="0" applyFont="1" applyFill="1" applyAlignment="1">
      <alignment horizontal="left"/>
    </xf>
    <xf numFmtId="0" fontId="0" fillId="6" borderId="0" xfId="0" applyFill="1" applyAlignment="1">
      <alignment horizontal="center"/>
    </xf>
    <xf numFmtId="0" fontId="0" fillId="0" borderId="17" xfId="0" applyBorder="1"/>
    <xf numFmtId="0" fontId="0" fillId="0" borderId="23" xfId="0" applyBorder="1"/>
    <xf numFmtId="0" fontId="15" fillId="0" borderId="0" xfId="0" applyFont="1"/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/>
    <xf numFmtId="0" fontId="18" fillId="0" borderId="16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5" fillId="0" borderId="0" xfId="0" applyFont="1"/>
    <xf numFmtId="0" fontId="0" fillId="5" borderId="16" xfId="0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9" fillId="0" borderId="0" xfId="0" applyFont="1"/>
    <xf numFmtId="0" fontId="4" fillId="0" borderId="0" xfId="0" applyFont="1"/>
    <xf numFmtId="0" fontId="13" fillId="0" borderId="0" xfId="0" applyFont="1"/>
    <xf numFmtId="0" fontId="11" fillId="0" borderId="1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/>
    </xf>
    <xf numFmtId="0" fontId="0" fillId="0" borderId="1" xfId="0" applyBorder="1"/>
    <xf numFmtId="0" fontId="4" fillId="0" borderId="6" xfId="0" applyFont="1" applyBorder="1" applyAlignment="1">
      <alignment horizontal="center" vertical="center"/>
    </xf>
    <xf numFmtId="164" fontId="4" fillId="0" borderId="26" xfId="0" applyNumberFormat="1" applyFont="1" applyBorder="1" applyAlignment="1">
      <alignment horizontal="center" vertical="center"/>
    </xf>
    <xf numFmtId="0" fontId="0" fillId="0" borderId="5" xfId="0" applyBorder="1"/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0" fillId="6" borderId="0" xfId="0" applyFill="1"/>
    <xf numFmtId="0" fontId="12" fillId="0" borderId="18" xfId="0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0" fillId="0" borderId="16" xfId="0" applyBorder="1"/>
    <xf numFmtId="0" fontId="5" fillId="0" borderId="17" xfId="0" applyFont="1" applyBorder="1" applyAlignment="1">
      <alignment horizontal="center"/>
    </xf>
    <xf numFmtId="0" fontId="0" fillId="0" borderId="8" xfId="0" applyBorder="1"/>
    <xf numFmtId="0" fontId="5" fillId="0" borderId="27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164" fontId="4" fillId="0" borderId="0" xfId="0" applyNumberFormat="1" applyFont="1"/>
    <xf numFmtId="164" fontId="0" fillId="0" borderId="0" xfId="0" applyNumberFormat="1"/>
    <xf numFmtId="0" fontId="0" fillId="0" borderId="21" xfId="0" applyBorder="1"/>
    <xf numFmtId="2" fontId="0" fillId="0" borderId="0" xfId="0" applyNumberFormat="1" applyAlignment="1">
      <alignment horizontal="center" vertical="center"/>
    </xf>
    <xf numFmtId="2" fontId="20" fillId="0" borderId="21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1" xfId="0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20" fillId="0" borderId="21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15" fillId="0" borderId="17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2" fontId="20" fillId="0" borderId="38" xfId="0" applyNumberFormat="1" applyFont="1" applyBorder="1" applyAlignment="1" applyProtection="1">
      <alignment horizontal="center" vertical="center"/>
      <protection locked="0"/>
    </xf>
    <xf numFmtId="0" fontId="0" fillId="0" borderId="38" xfId="0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20" fillId="0" borderId="25" xfId="0" applyFont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4" fillId="7" borderId="21" xfId="0" applyFont="1" applyFill="1" applyBorder="1" applyAlignment="1" applyProtection="1">
      <alignment horizontal="center" vertical="center"/>
      <protection locked="0"/>
    </xf>
    <xf numFmtId="0" fontId="4" fillId="7" borderId="25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8" borderId="11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5" fillId="9" borderId="16" xfId="0" applyFont="1" applyFill="1" applyBorder="1" applyAlignment="1" applyProtection="1">
      <alignment horizontal="center" vertical="center"/>
      <protection locked="0"/>
    </xf>
    <xf numFmtId="0" fontId="0" fillId="9" borderId="16" xfId="0" applyFill="1" applyBorder="1" applyAlignment="1" applyProtection="1">
      <alignment horizontal="center" vertical="center"/>
      <protection locked="0"/>
    </xf>
    <xf numFmtId="14" fontId="5" fillId="9" borderId="11" xfId="0" applyNumberFormat="1" applyFont="1" applyFill="1" applyBorder="1" applyAlignment="1" applyProtection="1">
      <alignment horizontal="center" vertical="center"/>
      <protection locked="0"/>
    </xf>
    <xf numFmtId="0" fontId="5" fillId="9" borderId="12" xfId="0" applyFont="1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30" fillId="0" borderId="5" xfId="1" applyBorder="1" applyAlignment="1">
      <alignment horizontal="center"/>
    </xf>
    <xf numFmtId="0" fontId="30" fillId="0" borderId="3" xfId="1" applyFill="1" applyBorder="1" applyAlignment="1">
      <alignment horizontal="center"/>
    </xf>
    <xf numFmtId="0" fontId="30" fillId="0" borderId="5" xfId="1" applyFill="1" applyBorder="1" applyAlignment="1">
      <alignment horizontal="center"/>
    </xf>
    <xf numFmtId="0" fontId="0" fillId="2" borderId="37" xfId="0" applyFill="1" applyBorder="1" applyAlignment="1" applyProtection="1">
      <alignment horizontal="center" vertical="center"/>
      <protection locked="0"/>
    </xf>
    <xf numFmtId="0" fontId="5" fillId="2" borderId="39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3" borderId="37" xfId="0" applyFill="1" applyBorder="1" applyAlignment="1" applyProtection="1">
      <alignment horizontal="center" vertical="center"/>
      <protection locked="0"/>
    </xf>
    <xf numFmtId="0" fontId="5" fillId="3" borderId="39" xfId="0" applyFon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4" borderId="37" xfId="0" applyFill="1" applyBorder="1" applyAlignment="1" applyProtection="1">
      <alignment horizontal="center" vertical="center"/>
      <protection locked="0"/>
    </xf>
    <xf numFmtId="0" fontId="5" fillId="4" borderId="39" xfId="0" applyFont="1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2" fontId="4" fillId="0" borderId="23" xfId="0" applyNumberFormat="1" applyFont="1" applyBorder="1" applyAlignment="1">
      <alignment horizontal="center" vertical="center"/>
    </xf>
    <xf numFmtId="2" fontId="4" fillId="10" borderId="23" xfId="0" applyNumberFormat="1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7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15" fillId="0" borderId="38" xfId="0" applyNumberFormat="1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164" fontId="15" fillId="0" borderId="25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5" fillId="0" borderId="0" xfId="0" applyFont="1" applyAlignment="1">
      <alignment horizontal="center"/>
    </xf>
    <xf numFmtId="0" fontId="15" fillId="0" borderId="1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9" fontId="0" fillId="0" borderId="40" xfId="2" applyFont="1" applyBorder="1" applyAlignment="1">
      <alignment horizontal="center" vertical="center"/>
    </xf>
    <xf numFmtId="9" fontId="0" fillId="0" borderId="40" xfId="0" applyNumberFormat="1" applyBorder="1" applyAlignment="1">
      <alignment horizontal="center" vertical="center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0" fontId="5" fillId="3" borderId="26" xfId="0" applyFont="1" applyFill="1" applyBorder="1" applyAlignment="1" applyProtection="1">
      <alignment horizontal="center" vertical="center"/>
      <protection locked="0"/>
    </xf>
    <xf numFmtId="0" fontId="5" fillId="4" borderId="22" xfId="0" applyFont="1" applyFill="1" applyBorder="1" applyAlignment="1" applyProtection="1">
      <alignment horizontal="center" vertical="center"/>
      <protection locked="0"/>
    </xf>
    <xf numFmtId="0" fontId="5" fillId="4" borderId="26" xfId="0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vertical="center"/>
    </xf>
    <xf numFmtId="14" fontId="28" fillId="0" borderId="0" xfId="0" applyNumberFormat="1" applyFont="1" applyAlignment="1">
      <alignment vertical="center"/>
    </xf>
    <xf numFmtId="0" fontId="16" fillId="0" borderId="41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27" fillId="8" borderId="1" xfId="0" applyFont="1" applyFill="1" applyBorder="1" applyAlignment="1">
      <alignment horizontal="center" vertical="center" wrapText="1"/>
    </xf>
    <xf numFmtId="0" fontId="27" fillId="8" borderId="3" xfId="0" applyFont="1" applyFill="1" applyBorder="1" applyAlignment="1">
      <alignment horizontal="center" vertical="center" wrapText="1"/>
    </xf>
    <xf numFmtId="0" fontId="27" fillId="8" borderId="9" xfId="0" applyFont="1" applyFill="1" applyBorder="1" applyAlignment="1">
      <alignment horizontal="center" vertical="center" wrapText="1"/>
    </xf>
    <xf numFmtId="0" fontId="27" fillId="8" borderId="5" xfId="0" applyFont="1" applyFill="1" applyBorder="1" applyAlignment="1">
      <alignment horizontal="center" vertical="center" wrapText="1"/>
    </xf>
    <xf numFmtId="0" fontId="27" fillId="8" borderId="10" xfId="0" applyFont="1" applyFill="1" applyBorder="1" applyAlignment="1">
      <alignment horizontal="center" vertical="center" wrapText="1"/>
    </xf>
    <xf numFmtId="0" fontId="27" fillId="8" borderId="8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4" fontId="0" fillId="0" borderId="27" xfId="0" applyNumberFormat="1" applyBorder="1" applyAlignment="1">
      <alignment horizontal="center"/>
    </xf>
    <xf numFmtId="14" fontId="0" fillId="0" borderId="18" xfId="0" applyNumberFormat="1" applyBorder="1" applyAlignment="1">
      <alignment horizontal="center"/>
    </xf>
    <xf numFmtId="14" fontId="0" fillId="0" borderId="19" xfId="0" applyNumberForma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2" fillId="5" borderId="0" xfId="0" applyFont="1" applyFill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0" fontId="28" fillId="0" borderId="0" xfId="0" applyFont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14" fontId="0" fillId="5" borderId="27" xfId="0" applyNumberFormat="1" applyFill="1" applyBorder="1" applyAlignment="1">
      <alignment horizontal="center" vertical="center"/>
    </xf>
    <xf numFmtId="14" fontId="0" fillId="5" borderId="19" xfId="0" applyNumberFormat="1" applyFill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Pourcentage" xfId="2" builtinId="5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N$18"/>
</file>

<file path=xl/ctrlProps/ctrlProp2.xml><?xml version="1.0" encoding="utf-8"?>
<formControlPr xmlns="http://schemas.microsoft.com/office/spreadsheetml/2009/9/main" objectType="CheckBox" fmlaLink="$N$19" lockText="1"/>
</file>

<file path=xl/ctrlProps/ctrlProp3.xml><?xml version="1.0" encoding="utf-8"?>
<formControlPr xmlns="http://schemas.microsoft.com/office/spreadsheetml/2009/9/main" objectType="CheckBox" fmlaLink="$N$20" lockText="1"/>
</file>

<file path=xl/ctrlProps/ctrlProp4.xml><?xml version="1.0" encoding="utf-8"?>
<formControlPr xmlns="http://schemas.microsoft.com/office/spreadsheetml/2009/9/main" objectType="CheckBox" fmlaLink="$N$23" lockText="1"/>
</file>

<file path=xl/ctrlProps/ctrlProp5.xml><?xml version="1.0" encoding="utf-8"?>
<formControlPr xmlns="http://schemas.microsoft.com/office/spreadsheetml/2009/9/main" objectType="CheckBox" fmlaLink="$N$24" lockText="1"/>
</file>

<file path=xl/ctrlProps/ctrlProp6.xml><?xml version="1.0" encoding="utf-8"?>
<formControlPr xmlns="http://schemas.microsoft.com/office/spreadsheetml/2009/9/main" objectType="CheckBox" fmlaLink="$N$25" lockText="1"/>
</file>

<file path=xl/ctrlProps/ctrlProp7.xml><?xml version="1.0" encoding="utf-8"?>
<formControlPr xmlns="http://schemas.microsoft.com/office/spreadsheetml/2009/9/main" objectType="CheckBox" fmlaLink="$N$28" lockText="1"/>
</file>

<file path=xl/ctrlProps/ctrlProp8.xml><?xml version="1.0" encoding="utf-8"?>
<formControlPr xmlns="http://schemas.microsoft.com/office/spreadsheetml/2009/9/main" objectType="CheckBox" fmlaLink="$N$29" lockText="1"/>
</file>

<file path=xl/ctrlProps/ctrlProp9.xml><?xml version="1.0" encoding="utf-8"?>
<formControlPr xmlns="http://schemas.microsoft.com/office/spreadsheetml/2009/9/main" objectType="CheckBox" fmlaLink="$N$30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161926</xdr:colOff>
      <xdr:row>2</xdr:row>
      <xdr:rowOff>104774</xdr:rowOff>
    </xdr:from>
    <xdr:to>
      <xdr:col>1</xdr:col>
      <xdr:colOff>866776</xdr:colOff>
      <xdr:row>5</xdr:row>
      <xdr:rowOff>66282</xdr:rowOff>
    </xdr:to>
    <xdr:pic>
      <xdr:nvPicPr>
        <xdr:cNvPr id="6" name="Imag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1" y="504824"/>
          <a:ext cx="704850" cy="675883"/>
        </a:xfrm>
        <a:prstGeom prst="rect">
          <a:avLst/>
        </a:prstGeom>
        <a:noFill/>
        <a:ln>
          <a:noFill/>
        </a:ln>
        <a:effectLst>
          <a:outerShdw sx="1000" sy="1000" algn="ctr" rotWithShape="0">
            <a:srgbClr val="000000"/>
          </a:outerShdw>
          <a:reflection endPos="0" dir="5400000" sy="-100000" algn="bl" rotWithShape="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123825</xdr:colOff>
      <xdr:row>2</xdr:row>
      <xdr:rowOff>171450</xdr:rowOff>
    </xdr:from>
    <xdr:to>
      <xdr:col>8</xdr:col>
      <xdr:colOff>1047750</xdr:colOff>
      <xdr:row>5</xdr:row>
      <xdr:rowOff>152400</xdr:rowOff>
    </xdr:to>
    <xdr:pic>
      <xdr:nvPicPr>
        <xdr:cNvPr id="8" name="Imag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666750"/>
          <a:ext cx="9239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17</xdr:row>
          <xdr:rowOff>9525</xdr:rowOff>
        </xdr:from>
        <xdr:to>
          <xdr:col>5</xdr:col>
          <xdr:colOff>438150</xdr:colOff>
          <xdr:row>17</xdr:row>
          <xdr:rowOff>228600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18</xdr:row>
          <xdr:rowOff>9525</xdr:rowOff>
        </xdr:from>
        <xdr:to>
          <xdr:col>5</xdr:col>
          <xdr:colOff>438150</xdr:colOff>
          <xdr:row>18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19</xdr:row>
          <xdr:rowOff>9525</xdr:rowOff>
        </xdr:from>
        <xdr:to>
          <xdr:col>5</xdr:col>
          <xdr:colOff>438150</xdr:colOff>
          <xdr:row>19</xdr:row>
          <xdr:rowOff>228600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22</xdr:row>
          <xdr:rowOff>9525</xdr:rowOff>
        </xdr:from>
        <xdr:to>
          <xdr:col>5</xdr:col>
          <xdr:colOff>428625</xdr:colOff>
          <xdr:row>23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23</xdr:row>
          <xdr:rowOff>9525</xdr:rowOff>
        </xdr:from>
        <xdr:to>
          <xdr:col>5</xdr:col>
          <xdr:colOff>428625</xdr:colOff>
          <xdr:row>23</xdr:row>
          <xdr:rowOff>228600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24</xdr:row>
          <xdr:rowOff>9525</xdr:rowOff>
        </xdr:from>
        <xdr:to>
          <xdr:col>5</xdr:col>
          <xdr:colOff>428625</xdr:colOff>
          <xdr:row>24</xdr:row>
          <xdr:rowOff>228600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27</xdr:row>
          <xdr:rowOff>9525</xdr:rowOff>
        </xdr:from>
        <xdr:to>
          <xdr:col>5</xdr:col>
          <xdr:colOff>438150</xdr:colOff>
          <xdr:row>27</xdr:row>
          <xdr:rowOff>228600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28</xdr:row>
          <xdr:rowOff>9525</xdr:rowOff>
        </xdr:from>
        <xdr:to>
          <xdr:col>5</xdr:col>
          <xdr:colOff>438150</xdr:colOff>
          <xdr:row>28</xdr:row>
          <xdr:rowOff>228600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29</xdr:row>
          <xdr:rowOff>9525</xdr:rowOff>
        </xdr:from>
        <xdr:to>
          <xdr:col>5</xdr:col>
          <xdr:colOff>438150</xdr:colOff>
          <xdr:row>29</xdr:row>
          <xdr:rowOff>228600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609599</xdr:colOff>
      <xdr:row>2</xdr:row>
      <xdr:rowOff>85725</xdr:rowOff>
    </xdr:from>
    <xdr:to>
      <xdr:col>2</xdr:col>
      <xdr:colOff>1495424</xdr:colOff>
      <xdr:row>4</xdr:row>
      <xdr:rowOff>363646</xdr:rowOff>
    </xdr:to>
    <xdr:pic>
      <xdr:nvPicPr>
        <xdr:cNvPr id="5" name="Image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099" y="542925"/>
          <a:ext cx="885825" cy="849421"/>
        </a:xfrm>
        <a:prstGeom prst="rect">
          <a:avLst/>
        </a:prstGeom>
        <a:noFill/>
        <a:ln>
          <a:noFill/>
        </a:ln>
        <a:effectLst>
          <a:outerShdw sx="1000" sy="1000" algn="ctr" rotWithShape="0">
            <a:srgbClr val="000000"/>
          </a:outerShdw>
          <a:reflection endPos="0" dir="5400000" sy="-100000" algn="bl" rotWithShape="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1819275</xdr:colOff>
      <xdr:row>2</xdr:row>
      <xdr:rowOff>133350</xdr:rowOff>
    </xdr:from>
    <xdr:to>
      <xdr:col>3</xdr:col>
      <xdr:colOff>276225</xdr:colOff>
      <xdr:row>4</xdr:row>
      <xdr:rowOff>257175</xdr:rowOff>
    </xdr:to>
    <xdr:pic>
      <xdr:nvPicPr>
        <xdr:cNvPr id="7" name="Image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590550"/>
          <a:ext cx="9239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pdalcortivo@gmail.com" TargetMode="External"/><Relationship Id="rId13" Type="http://schemas.openxmlformats.org/officeDocument/2006/relationships/hyperlink" Target="mailto:domtoriop44@gmail.com" TargetMode="External"/><Relationship Id="rId3" Type="http://schemas.openxmlformats.org/officeDocument/2006/relationships/hyperlink" Target="mailto:bertrandgeorges17@gmail.com" TargetMode="External"/><Relationship Id="rId7" Type="http://schemas.openxmlformats.org/officeDocument/2006/relationships/hyperlink" Target="mailto:philou57.lp@gmail.com" TargetMode="External"/><Relationship Id="rId12" Type="http://schemas.openxmlformats.org/officeDocument/2006/relationships/hyperlink" Target="mailto:domtoriop44@gmail.com" TargetMode="External"/><Relationship Id="rId2" Type="http://schemas.openxmlformats.org/officeDocument/2006/relationships/hyperlink" Target="mailto:bertrandgeorges17@gmail.com" TargetMode="External"/><Relationship Id="rId1" Type="http://schemas.openxmlformats.org/officeDocument/2006/relationships/hyperlink" Target="mailto:philou57.lp@gmail.com" TargetMode="External"/><Relationship Id="rId6" Type="http://schemas.openxmlformats.org/officeDocument/2006/relationships/hyperlink" Target="mailto:philou57.lp@gmail.com" TargetMode="External"/><Relationship Id="rId11" Type="http://schemas.openxmlformats.org/officeDocument/2006/relationships/hyperlink" Target="mailto:pdalcortivo@gmail.com" TargetMode="External"/><Relationship Id="rId5" Type="http://schemas.openxmlformats.org/officeDocument/2006/relationships/hyperlink" Target="mailto:philou57.lp@gmail.com" TargetMode="External"/><Relationship Id="rId10" Type="http://schemas.openxmlformats.org/officeDocument/2006/relationships/hyperlink" Target="mailto:pdalcortivo@gmail.com" TargetMode="External"/><Relationship Id="rId4" Type="http://schemas.openxmlformats.org/officeDocument/2006/relationships/hyperlink" Target="mailto:philou57.lp@gmail.com" TargetMode="External"/><Relationship Id="rId9" Type="http://schemas.openxmlformats.org/officeDocument/2006/relationships/hyperlink" Target="mailto:domtoriop44@gmail.com" TargetMode="External"/><Relationship Id="rId1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tabColor rgb="FFFF0000"/>
  </sheetPr>
  <dimension ref="A1:BU39"/>
  <sheetViews>
    <sheetView showGridLines="0" zoomScaleNormal="100" workbookViewId="0">
      <selection activeCell="D10" sqref="D10"/>
    </sheetView>
  </sheetViews>
  <sheetFormatPr baseColWidth="10" defaultRowHeight="18.75" customHeight="1" x14ac:dyDescent="0.25"/>
  <cols>
    <col min="1" max="1" width="2" style="150" customWidth="1"/>
    <col min="2" max="2" width="13.5703125" style="3" customWidth="1"/>
    <col min="3" max="3" width="5.7109375" style="3" customWidth="1"/>
    <col min="4" max="4" width="28.42578125" style="3" customWidth="1"/>
    <col min="5" max="5" width="3.7109375" style="3" customWidth="1"/>
    <col min="6" max="6" width="6.7109375" style="3" customWidth="1"/>
    <col min="7" max="7" width="2.42578125" style="3" customWidth="1"/>
    <col min="8" max="8" width="2.28515625" style="3" customWidth="1"/>
    <col min="9" max="9" width="19.7109375" style="3" customWidth="1"/>
    <col min="10" max="10" width="0.5703125" style="3" customWidth="1"/>
    <col min="11" max="11" width="8.140625" style="3" hidden="1" customWidth="1"/>
    <col min="12" max="12" width="8.140625" hidden="1" customWidth="1"/>
    <col min="13" max="13" width="8.140625" style="3" hidden="1" customWidth="1"/>
    <col min="14" max="14" width="5.7109375" style="3" hidden="1" customWidth="1"/>
    <col min="15" max="15" width="2" style="3" hidden="1" customWidth="1"/>
    <col min="16" max="16" width="4.85546875" style="3" hidden="1" customWidth="1"/>
    <col min="17" max="17" width="8.42578125" style="1" hidden="1" customWidth="1"/>
    <col min="18" max="19" width="8.140625" style="1" hidden="1" customWidth="1"/>
    <col min="20" max="21" width="2" style="1" hidden="1" customWidth="1"/>
    <col min="22" max="22" width="7.5703125" style="1" hidden="1" customWidth="1"/>
    <col min="23" max="28" width="2" style="1" hidden="1" customWidth="1"/>
    <col min="29" max="32" width="8.140625" style="1" hidden="1" customWidth="1"/>
    <col min="33" max="33" width="23.28515625" style="1" hidden="1" customWidth="1"/>
    <col min="34" max="36" width="8.140625" style="1" hidden="1" customWidth="1"/>
    <col min="37" max="37" width="2" style="1" hidden="1" customWidth="1"/>
    <col min="38" max="38" width="3" style="3" hidden="1" customWidth="1"/>
    <col min="39" max="39" width="2" style="3" hidden="1" customWidth="1"/>
    <col min="40" max="40" width="4" style="3" hidden="1" customWidth="1"/>
    <col min="41" max="41" width="2" style="3" hidden="1" customWidth="1"/>
    <col min="42" max="42" width="4" style="3" hidden="1" customWidth="1"/>
    <col min="43" max="43" width="8" style="3" hidden="1" customWidth="1"/>
    <col min="44" max="51" width="11.28515625" style="3" hidden="1" customWidth="1"/>
    <col min="52" max="55" width="8.140625" style="3" hidden="1" customWidth="1"/>
    <col min="56" max="56" width="20.42578125" style="3" hidden="1" customWidth="1"/>
    <col min="57" max="62" width="8.140625" style="3" hidden="1" customWidth="1"/>
    <col min="63" max="73" width="10.140625" style="3" hidden="1" customWidth="1"/>
    <col min="74" max="121" width="10.140625" style="3" customWidth="1"/>
    <col min="122" max="16384" width="11.42578125" style="3"/>
  </cols>
  <sheetData>
    <row r="1" spans="1:56" ht="4.5" customHeight="1" x14ac:dyDescent="0.25"/>
    <row r="2" spans="1:56" ht="34.5" customHeight="1" x14ac:dyDescent="0.25">
      <c r="B2" s="244" t="s">
        <v>361</v>
      </c>
      <c r="C2" s="244"/>
      <c r="D2" s="244"/>
      <c r="E2" s="244"/>
      <c r="F2" s="244"/>
      <c r="G2" s="244"/>
      <c r="H2" s="244"/>
      <c r="I2" s="244"/>
      <c r="J2" s="244"/>
    </row>
    <row r="3" spans="1:56" ht="18.75" customHeight="1" x14ac:dyDescent="0.25">
      <c r="A3" s="150" t="s">
        <v>350</v>
      </c>
      <c r="AG3" s="1" t="str">
        <f>LISTE!H2</f>
        <v>QUARTA Andréa</v>
      </c>
    </row>
    <row r="4" spans="1:56" ht="18.75" customHeight="1" x14ac:dyDescent="0.25">
      <c r="A4" s="150" t="s">
        <v>349</v>
      </c>
      <c r="D4" s="46" t="s">
        <v>353</v>
      </c>
      <c r="E4" s="121"/>
      <c r="AG4" s="1">
        <f>LISTE!H3</f>
        <v>0</v>
      </c>
    </row>
    <row r="5" spans="1:56" ht="18.75" customHeight="1" x14ac:dyDescent="0.25">
      <c r="A5" s="150" t="s">
        <v>353</v>
      </c>
      <c r="AG5" s="1">
        <f>LISTE!H4</f>
        <v>0</v>
      </c>
    </row>
    <row r="6" spans="1:56" ht="18.75" customHeight="1" thickBot="1" x14ac:dyDescent="0.3">
      <c r="A6" s="150" t="s">
        <v>352</v>
      </c>
      <c r="F6" s="123"/>
      <c r="G6" s="150" t="s">
        <v>298</v>
      </c>
      <c r="AG6" s="1">
        <f>LISTE!H5</f>
        <v>0</v>
      </c>
    </row>
    <row r="7" spans="1:56" ht="18.75" customHeight="1" thickBot="1" x14ac:dyDescent="0.3">
      <c r="A7" s="150" t="s">
        <v>351</v>
      </c>
      <c r="B7" s="169" t="s">
        <v>61</v>
      </c>
      <c r="D7" s="174"/>
      <c r="E7" s="44"/>
      <c r="F7" s="1" t="s">
        <v>301</v>
      </c>
      <c r="G7" s="150" t="s">
        <v>299</v>
      </c>
      <c r="AG7" s="1">
        <f>LISTE!H6</f>
        <v>0</v>
      </c>
    </row>
    <row r="8" spans="1:56" ht="18.75" customHeight="1" thickBot="1" x14ac:dyDescent="0.3">
      <c r="A8" s="150" t="s">
        <v>354</v>
      </c>
      <c r="F8" s="175"/>
      <c r="G8" s="150" t="s">
        <v>300</v>
      </c>
      <c r="U8" s="1">
        <f>C31</f>
        <v>0</v>
      </c>
      <c r="V8" s="1" t="s">
        <v>309</v>
      </c>
      <c r="W8" s="1">
        <v>9</v>
      </c>
      <c r="X8" s="1">
        <v>9</v>
      </c>
      <c r="Y8" s="1">
        <v>9</v>
      </c>
      <c r="Z8" s="1">
        <v>8</v>
      </c>
      <c r="AA8" s="1">
        <v>8</v>
      </c>
      <c r="AB8" s="1">
        <v>8</v>
      </c>
      <c r="AG8" s="1">
        <f>LISTE!H7</f>
        <v>0</v>
      </c>
    </row>
    <row r="9" spans="1:56" ht="18.75" customHeight="1" thickBot="1" x14ac:dyDescent="0.3">
      <c r="B9" s="3" t="s">
        <v>62</v>
      </c>
      <c r="D9" s="176"/>
      <c r="F9"/>
      <c r="G9" s="150" t="s">
        <v>358</v>
      </c>
      <c r="U9" s="1">
        <f>U17</f>
        <v>0</v>
      </c>
      <c r="V9" s="1" t="s">
        <v>310</v>
      </c>
      <c r="W9" s="1">
        <v>8</v>
      </c>
      <c r="X9" s="1">
        <v>8</v>
      </c>
      <c r="Y9" s="1">
        <v>8</v>
      </c>
      <c r="Z9" s="1">
        <v>7</v>
      </c>
      <c r="AA9" s="1">
        <v>7</v>
      </c>
      <c r="AB9" s="1">
        <v>7</v>
      </c>
      <c r="AG9" s="1">
        <f>LISTE!H8</f>
        <v>0</v>
      </c>
    </row>
    <row r="10" spans="1:56" ht="18.75" customHeight="1" thickBot="1" x14ac:dyDescent="0.3">
      <c r="B10" s="3" t="s">
        <v>63</v>
      </c>
      <c r="D10" s="176" t="s">
        <v>353</v>
      </c>
      <c r="U10" s="1">
        <f>F38</f>
        <v>0</v>
      </c>
      <c r="V10" s="1" t="s">
        <v>311</v>
      </c>
      <c r="W10" s="1">
        <v>1</v>
      </c>
      <c r="X10" s="1">
        <v>1</v>
      </c>
      <c r="Y10" s="1">
        <v>1</v>
      </c>
      <c r="Z10" s="1">
        <v>1</v>
      </c>
      <c r="AA10" s="1">
        <v>1</v>
      </c>
      <c r="AB10" s="1">
        <v>1</v>
      </c>
      <c r="AG10" s="1">
        <f>LISTE!H9</f>
        <v>0</v>
      </c>
      <c r="BD10" s="177" t="s">
        <v>350</v>
      </c>
    </row>
    <row r="11" spans="1:56" ht="18.75" customHeight="1" thickBot="1" x14ac:dyDescent="0.3">
      <c r="B11" s="3" t="s">
        <v>122</v>
      </c>
      <c r="D11" s="176" t="s">
        <v>355</v>
      </c>
      <c r="E11" s="122"/>
      <c r="AG11" s="1">
        <f>LISTE!H10</f>
        <v>0</v>
      </c>
      <c r="BD11" s="173" t="str">
        <f>IF(BD10=A3,A6,IF(BD10=A4,A7,""))</f>
        <v>2 Sets Gagnants 60 pts</v>
      </c>
    </row>
    <row r="12" spans="1:56" ht="18.75" customHeight="1" thickBot="1" x14ac:dyDescent="0.3">
      <c r="U12" s="1">
        <f>COUNT(U28:U30)</f>
        <v>0</v>
      </c>
      <c r="V12" s="1" t="s">
        <v>312</v>
      </c>
      <c r="W12" s="1">
        <v>2</v>
      </c>
      <c r="X12" s="1">
        <v>3</v>
      </c>
      <c r="Y12" s="1">
        <v>3</v>
      </c>
      <c r="Z12" s="1">
        <v>1</v>
      </c>
      <c r="AA12" s="1">
        <v>2</v>
      </c>
      <c r="AB12" s="1">
        <v>2</v>
      </c>
      <c r="AG12" s="1">
        <f>LISTE!H13</f>
        <v>0</v>
      </c>
    </row>
    <row r="13" spans="1:56" ht="18.75" customHeight="1" thickBot="1" x14ac:dyDescent="0.3">
      <c r="B13" s="169" t="s">
        <v>320</v>
      </c>
      <c r="D13" s="178"/>
      <c r="H13" s="167"/>
      <c r="AG13" s="1">
        <f>LISTE!H14</f>
        <v>0</v>
      </c>
    </row>
    <row r="14" spans="1:56" ht="18.75" customHeight="1" thickBot="1" x14ac:dyDescent="0.3">
      <c r="I14" s="242" t="s">
        <v>319</v>
      </c>
      <c r="AG14" s="1">
        <f>LISTE!H15</f>
        <v>0</v>
      </c>
    </row>
    <row r="15" spans="1:56" ht="18.75" customHeight="1" x14ac:dyDescent="0.25">
      <c r="D15" s="243" t="s">
        <v>318</v>
      </c>
      <c r="E15" s="236" t="s">
        <v>314</v>
      </c>
      <c r="F15" s="237"/>
      <c r="I15" s="242"/>
      <c r="AG15" s="1">
        <f>LISTE!H16</f>
        <v>0</v>
      </c>
    </row>
    <row r="16" spans="1:56" ht="18.75" customHeight="1" x14ac:dyDescent="0.25">
      <c r="D16" s="243"/>
      <c r="E16" s="238"/>
      <c r="F16" s="239"/>
      <c r="I16" s="242"/>
      <c r="P16" s="3" t="s">
        <v>307</v>
      </c>
    </row>
    <row r="17" spans="2:43" ht="18.75" customHeight="1" thickBot="1" x14ac:dyDescent="0.3">
      <c r="C17" s="3" t="s">
        <v>306</v>
      </c>
      <c r="D17" s="3" t="s">
        <v>305</v>
      </c>
      <c r="E17" s="240"/>
      <c r="F17" s="241"/>
      <c r="I17" s="45" t="str">
        <f>'Calc Inscription Joueurs'!A6</f>
        <v>POULE 1</v>
      </c>
      <c r="O17" s="135"/>
      <c r="P17" s="136"/>
      <c r="Q17" s="137" t="str">
        <f>B34</f>
        <v>FORFAIT</v>
      </c>
      <c r="U17" s="1">
        <f>COUNT(U18:U30)</f>
        <v>0</v>
      </c>
      <c r="AL17" s="3">
        <v>23</v>
      </c>
      <c r="AN17" s="3">
        <v>456</v>
      </c>
      <c r="AP17" s="3">
        <v>789</v>
      </c>
      <c r="AQ17" s="3" t="s">
        <v>308</v>
      </c>
    </row>
    <row r="18" spans="2:43" ht="18.75" customHeight="1" thickBot="1" x14ac:dyDescent="0.3">
      <c r="B18" s="45" t="s">
        <v>64</v>
      </c>
      <c r="C18" s="191"/>
      <c r="D18" s="192"/>
      <c r="E18" s="182"/>
      <c r="F18" s="183" t="s">
        <v>302</v>
      </c>
      <c r="I18" s="125" t="str">
        <f>AG18</f>
        <v/>
      </c>
      <c r="N18" s="179" t="b">
        <v>0</v>
      </c>
      <c r="O18" s="138" t="str">
        <f>IF(N18=TRUE,C18,"")</f>
        <v/>
      </c>
      <c r="P18" s="1" t="str">
        <f>IFERROR(RANK(O18,$O$18:$O$30,1),"")</f>
        <v/>
      </c>
      <c r="Q18" s="139" t="str">
        <f>IF(N18=TRUE,D18,"")</f>
        <v/>
      </c>
      <c r="T18" s="1" t="str">
        <f>IF(C18="","",IF(N18=FALSE,C18,""))</f>
        <v/>
      </c>
      <c r="U18" s="1" t="str">
        <f>IFERROR(RANK(T18,$T$18:$T$30,1),"")</f>
        <v/>
      </c>
      <c r="V18" s="1" t="str">
        <f>IF(D18="","",IF(N18=FALSE,D18,""))</f>
        <v/>
      </c>
      <c r="AG18" s="147" t="str">
        <f>IF($U$17=$C$31,AQ18,IF($U$17&gt;6,AP18,IF($U$17&lt;4,AL18,AN18)))</f>
        <v/>
      </c>
      <c r="AK18" s="1">
        <v>1</v>
      </c>
      <c r="AL18" s="3" t="str">
        <f>IFERROR(VLOOKUP(AK18,$U$18:$V$30,2,0),"")</f>
        <v/>
      </c>
      <c r="AM18" s="3">
        <v>1</v>
      </c>
      <c r="AN18" s="3" t="str">
        <f>IFERROR(VLOOKUP(AM18,$U$18:$V$30,2,0),"")</f>
        <v/>
      </c>
      <c r="AO18" s="3">
        <v>1</v>
      </c>
      <c r="AP18" s="3" t="str">
        <f>IFERROR(VLOOKUP(AO18,$U$18:$V$30,2,0),"")</f>
        <v/>
      </c>
      <c r="AQ18" s="3" t="str">
        <f>IF(AND($C$31=$U$17,D18&lt;&gt;""),D18,"")</f>
        <v/>
      </c>
    </row>
    <row r="19" spans="2:43" ht="18.75" customHeight="1" thickBot="1" x14ac:dyDescent="0.3">
      <c r="B19" s="150">
        <f>COUNT(C18:C20)</f>
        <v>0</v>
      </c>
      <c r="C19" s="193"/>
      <c r="D19" s="220"/>
      <c r="E19" s="182"/>
      <c r="F19" s="183" t="s">
        <v>302</v>
      </c>
      <c r="I19" s="126" t="str">
        <f>AG19</f>
        <v/>
      </c>
      <c r="N19" s="179" t="b">
        <v>0</v>
      </c>
      <c r="O19" s="138" t="str">
        <f>IF(N19=TRUE,C19,"")</f>
        <v/>
      </c>
      <c r="P19" s="1" t="str">
        <f>IFERROR(RANK(O19,$O$18:$O$30,1),"")</f>
        <v/>
      </c>
      <c r="Q19" s="139" t="str">
        <f>IF(N19=TRUE,D19,"")</f>
        <v/>
      </c>
      <c r="T19" s="1" t="str">
        <f>IF(C19="","",IF(N19=FALSE,C19,""))</f>
        <v/>
      </c>
      <c r="U19" s="1" t="str">
        <f>IFERROR(RANK(T19,$T$18:$T$30,1),"")</f>
        <v/>
      </c>
      <c r="V19" s="1" t="str">
        <f>IF(D19="","",IF(N19=FALSE,D19,""))</f>
        <v/>
      </c>
      <c r="AG19" s="147" t="str">
        <f t="shared" ref="AG19:AG30" si="0">IF($U$17=$C$31,AQ19,IF($U$17&gt;6,AP19,IF($U$17&lt;4,AL19,AN19)))</f>
        <v/>
      </c>
      <c r="AK19" s="1">
        <v>2</v>
      </c>
      <c r="AL19" s="3" t="str">
        <f>IFERROR(VLOOKUP(AK19,$U$18:$V$30,2,0),"")</f>
        <v/>
      </c>
      <c r="AM19" s="3">
        <v>4</v>
      </c>
      <c r="AN19" s="3" t="str">
        <f>IFERROR(VLOOKUP(AM19,$U$18:$V$30,2,0),"")</f>
        <v/>
      </c>
      <c r="AO19" s="3">
        <v>6</v>
      </c>
      <c r="AP19" s="3" t="str">
        <f>IFERROR(VLOOKUP(AO19,$U$18:$V$30,2,0),"")</f>
        <v/>
      </c>
      <c r="AQ19" s="3" t="str">
        <f>IF(AND($C$31=$U$17,D19&lt;&gt;""),D19,"")</f>
        <v/>
      </c>
    </row>
    <row r="20" spans="2:43" ht="18.75" customHeight="1" thickBot="1" x14ac:dyDescent="0.3">
      <c r="C20" s="194"/>
      <c r="D20" s="221"/>
      <c r="E20" s="182"/>
      <c r="F20" s="183" t="s">
        <v>302</v>
      </c>
      <c r="I20" s="127" t="str">
        <f>AG20</f>
        <v/>
      </c>
      <c r="N20" s="179" t="b">
        <v>0</v>
      </c>
      <c r="O20" s="138" t="str">
        <f>IF(N20=TRUE,C20,"")</f>
        <v/>
      </c>
      <c r="P20" s="1" t="str">
        <f>IFERROR(RANK(O20,$O$18:$O$30,1),"")</f>
        <v/>
      </c>
      <c r="Q20" s="139" t="str">
        <f>IF(N20=TRUE,D20,"")</f>
        <v/>
      </c>
      <c r="T20" s="1" t="str">
        <f>IF(C20="","",IF(N20=FALSE,C20,""))</f>
        <v/>
      </c>
      <c r="U20" s="1" t="str">
        <f>IFERROR(RANK(T20,$T$18:$T$30,1),"")</f>
        <v/>
      </c>
      <c r="V20" s="1" t="str">
        <f>IF(D20="","",IF(N20=FALSE,D20,""))</f>
        <v/>
      </c>
      <c r="AG20" s="147" t="str">
        <f t="shared" si="0"/>
        <v/>
      </c>
      <c r="AK20" s="1">
        <v>3</v>
      </c>
      <c r="AL20" s="3" t="str">
        <f>IFERROR(VLOOKUP(AK20,$U$18:$V$30,2,0),"")</f>
        <v/>
      </c>
      <c r="AM20" s="3">
        <v>5</v>
      </c>
      <c r="AN20" s="3" t="str">
        <f>IFERROR(VLOOKUP(AM20,$U$18:$V$30,2,0),"")</f>
        <v/>
      </c>
      <c r="AO20" s="3">
        <v>7</v>
      </c>
      <c r="AP20" s="3" t="str">
        <f>IFERROR(VLOOKUP(AO20,$U$18:$V$30,2,0),"")</f>
        <v/>
      </c>
      <c r="AQ20" s="3" t="str">
        <f>IF(AND($C$31=$U$17,D20&lt;&gt;""),D20,"")</f>
        <v/>
      </c>
    </row>
    <row r="21" spans="2:43" ht="18.75" customHeight="1" thickBot="1" x14ac:dyDescent="0.3">
      <c r="D21" s="44"/>
      <c r="E21" s="44"/>
      <c r="O21" s="140"/>
      <c r="Q21" s="139"/>
      <c r="AG21" s="147"/>
    </row>
    <row r="22" spans="2:43" ht="18.75" customHeight="1" thickBot="1" x14ac:dyDescent="0.3">
      <c r="C22" s="3" t="s">
        <v>306</v>
      </c>
      <c r="D22" s="3" t="s">
        <v>305</v>
      </c>
      <c r="E22" s="45"/>
      <c r="F22" s="180"/>
      <c r="I22" s="45" t="str">
        <f>'Calc Inscription Joueurs'!A9</f>
        <v>POULE 2</v>
      </c>
      <c r="O22" s="140"/>
      <c r="Q22" s="139"/>
      <c r="AG22" s="147"/>
    </row>
    <row r="23" spans="2:43" ht="18.75" customHeight="1" thickBot="1" x14ac:dyDescent="0.3">
      <c r="B23" s="45" t="s">
        <v>65</v>
      </c>
      <c r="C23" s="195"/>
      <c r="D23" s="196"/>
      <c r="E23" s="184"/>
      <c r="F23" s="185" t="s">
        <v>302</v>
      </c>
      <c r="G23" s="146"/>
      <c r="I23" s="128" t="str">
        <f>AG23</f>
        <v/>
      </c>
      <c r="N23" s="179" t="b">
        <v>0</v>
      </c>
      <c r="O23" s="138" t="str">
        <f>IF(N23=TRUE,C23,"")</f>
        <v/>
      </c>
      <c r="P23" s="1" t="str">
        <f>IFERROR(RANK(O23,$O$18:$O$30,1),"")</f>
        <v/>
      </c>
      <c r="Q23" s="139" t="str">
        <f>IF(N23=TRUE,D23,"")</f>
        <v/>
      </c>
      <c r="T23" s="1" t="str">
        <f>IF(C23="","",IF(N23=FALSE,C23,""))</f>
        <v/>
      </c>
      <c r="U23" s="1" t="str">
        <f>IFERROR(RANK(T23,$T$18:$T$30,1),"")</f>
        <v/>
      </c>
      <c r="V23" s="1" t="str">
        <f>IF(D23="","",IF(N23=FALSE,D23,""))</f>
        <v/>
      </c>
      <c r="AG23" s="147" t="str">
        <f t="shared" si="0"/>
        <v/>
      </c>
      <c r="AL23" s="3" t="str">
        <f>IFERROR(VLOOKUP(AK23,$U$18:$V$30,2,0),"")</f>
        <v/>
      </c>
      <c r="AM23" s="3">
        <v>2</v>
      </c>
      <c r="AN23" s="3" t="str">
        <f>IFERROR(VLOOKUP(AM23,$U$18:$V$30,2,0),"")</f>
        <v/>
      </c>
      <c r="AO23" s="3">
        <v>2</v>
      </c>
      <c r="AP23" s="3" t="str">
        <f>IFERROR(VLOOKUP(AO23,$U$18:$V$30,2,0),"")</f>
        <v/>
      </c>
      <c r="AQ23" s="3" t="str">
        <f>IF(AND($C$31=$U$17,D23&lt;&gt;""),D23,"")</f>
        <v/>
      </c>
    </row>
    <row r="24" spans="2:43" ht="18.75" customHeight="1" thickBot="1" x14ac:dyDescent="0.3">
      <c r="B24" s="150">
        <f>COUNT(C23:C25)</f>
        <v>0</v>
      </c>
      <c r="C24" s="197"/>
      <c r="D24" s="222"/>
      <c r="E24" s="184"/>
      <c r="F24" s="185" t="s">
        <v>302</v>
      </c>
      <c r="G24" s="146"/>
      <c r="I24" s="129" t="str">
        <f>AG24</f>
        <v/>
      </c>
      <c r="N24" s="179" t="b">
        <v>0</v>
      </c>
      <c r="O24" s="138" t="str">
        <f>IF(N24=TRUE,C24,"")</f>
        <v/>
      </c>
      <c r="P24" s="1" t="str">
        <f>IFERROR(RANK(O24,$O$18:$O$30,1),"")</f>
        <v/>
      </c>
      <c r="Q24" s="139" t="str">
        <f>IF(N24=TRUE,D24,"")</f>
        <v/>
      </c>
      <c r="T24" s="1" t="str">
        <f>IF(C24="","",IF(N24=FALSE,C24,""))</f>
        <v/>
      </c>
      <c r="U24" s="1" t="str">
        <f>IFERROR(RANK(T24,$T$18:$T$30,1),"")</f>
        <v/>
      </c>
      <c r="V24" s="1" t="str">
        <f>IF(D24="","",IF(N24=FALSE,D24,""))</f>
        <v/>
      </c>
      <c r="AG24" s="147" t="str">
        <f t="shared" si="0"/>
        <v/>
      </c>
      <c r="AL24" s="3" t="str">
        <f>IFERROR(VLOOKUP(AK24,$U$18:$V$30,2,0),"")</f>
        <v/>
      </c>
      <c r="AM24" s="3">
        <v>3</v>
      </c>
      <c r="AN24" s="3" t="str">
        <f>IFERROR(VLOOKUP(AM24,$U$18:$V$30,2,0),"")</f>
        <v/>
      </c>
      <c r="AO24" s="3">
        <v>5</v>
      </c>
      <c r="AP24" s="3" t="str">
        <f>IFERROR(VLOOKUP(AO24,$U$18:$V$30,2,0),"")</f>
        <v/>
      </c>
      <c r="AQ24" s="3" t="str">
        <f>IF(AND($C$31=$U$17,D24&lt;&gt;""),D24,"")</f>
        <v/>
      </c>
    </row>
    <row r="25" spans="2:43" ht="18.75" customHeight="1" thickBot="1" x14ac:dyDescent="0.3">
      <c r="C25" s="198"/>
      <c r="D25" s="223"/>
      <c r="E25" s="184"/>
      <c r="F25" s="185" t="s">
        <v>302</v>
      </c>
      <c r="G25" s="146"/>
      <c r="I25" s="130" t="str">
        <f>AG25</f>
        <v/>
      </c>
      <c r="N25" s="179" t="b">
        <v>0</v>
      </c>
      <c r="O25" s="138" t="str">
        <f>IF(N25=TRUE,C25,"")</f>
        <v/>
      </c>
      <c r="P25" s="1" t="str">
        <f>IFERROR(RANK(O25,$O$18:$O$30,1),"")</f>
        <v/>
      </c>
      <c r="Q25" s="139" t="str">
        <f>IF(N25=TRUE,D25,"")</f>
        <v/>
      </c>
      <c r="T25" s="1" t="str">
        <f>IF(C25="","",IF(N25=FALSE,C25,""))</f>
        <v/>
      </c>
      <c r="U25" s="1" t="str">
        <f>IFERROR(RANK(T25,$T$18:$T$30,1),"")</f>
        <v/>
      </c>
      <c r="V25" s="1" t="str">
        <f>IF(D25="","",IF(N25=FALSE,D25,""))</f>
        <v/>
      </c>
      <c r="AG25" s="147" t="str">
        <f t="shared" si="0"/>
        <v/>
      </c>
      <c r="AL25" s="3" t="str">
        <f>IFERROR(VLOOKUP(AK25,$U$18:$V$30,2,0),"")</f>
        <v/>
      </c>
      <c r="AM25" s="3">
        <v>6</v>
      </c>
      <c r="AN25" s="3" t="str">
        <f>IFERROR(VLOOKUP(AM25,$U$18:$V$30,2,0),"")</f>
        <v/>
      </c>
      <c r="AO25" s="3">
        <v>8</v>
      </c>
      <c r="AP25" s="3" t="str">
        <f>IFERROR(VLOOKUP(AO25,$U$18:$V$30,2,0),"")</f>
        <v/>
      </c>
      <c r="AQ25" s="3" t="str">
        <f>IF(AND($C$31=$U$17,D25&lt;&gt;""),D25,"")</f>
        <v/>
      </c>
    </row>
    <row r="26" spans="2:43" ht="18.75" customHeight="1" thickBot="1" x14ac:dyDescent="0.3">
      <c r="D26" s="44"/>
      <c r="E26" s="44"/>
      <c r="F26" s="146"/>
      <c r="G26" s="146"/>
      <c r="O26" s="140"/>
      <c r="Q26" s="139"/>
      <c r="AG26" s="147"/>
    </row>
    <row r="27" spans="2:43" ht="18.75" customHeight="1" thickBot="1" x14ac:dyDescent="0.3">
      <c r="C27" s="3" t="s">
        <v>306</v>
      </c>
      <c r="D27" s="3" t="s">
        <v>305</v>
      </c>
      <c r="E27" s="45"/>
      <c r="F27" s="181"/>
      <c r="G27" s="146"/>
      <c r="I27" s="45" t="str">
        <f>'Calc Inscription Joueurs'!A12</f>
        <v>POULE 3</v>
      </c>
      <c r="O27" s="140"/>
      <c r="Q27" s="139"/>
      <c r="AG27" s="147"/>
    </row>
    <row r="28" spans="2:43" ht="18.75" customHeight="1" thickBot="1" x14ac:dyDescent="0.3">
      <c r="B28" s="45" t="s">
        <v>97</v>
      </c>
      <c r="C28" s="199"/>
      <c r="D28" s="200"/>
      <c r="E28" s="186"/>
      <c r="F28" s="187" t="s">
        <v>302</v>
      </c>
      <c r="G28" s="146"/>
      <c r="I28" s="131" t="str">
        <f>AG28</f>
        <v/>
      </c>
      <c r="N28" s="179" t="b">
        <v>0</v>
      </c>
      <c r="O28" s="138" t="str">
        <f>IF(N28=TRUE,C28,"")</f>
        <v/>
      </c>
      <c r="P28" s="1" t="str">
        <f>IFERROR(RANK(O28,$O$18:$O$30,1),"")</f>
        <v/>
      </c>
      <c r="Q28" s="139" t="str">
        <f>IF(N28=TRUE,D28,"")</f>
        <v/>
      </c>
      <c r="T28" s="1" t="str">
        <f>IF(C28="","",IF(N28=FALSE,C28,""))</f>
        <v/>
      </c>
      <c r="U28" s="1" t="str">
        <f>IFERROR(RANK(T28,$T$18:$T$30,1),"")</f>
        <v/>
      </c>
      <c r="V28" s="1" t="str">
        <f>IF(D28="","",IF(N28=FALSE,D28,""))</f>
        <v/>
      </c>
      <c r="AG28" s="147" t="str">
        <f t="shared" si="0"/>
        <v/>
      </c>
      <c r="AL28" s="3" t="str">
        <f>IFERROR(VLOOKUP(AK28,$U$18:$V$30,2,0),"")</f>
        <v/>
      </c>
      <c r="AN28" s="3" t="str">
        <f>IFERROR(VLOOKUP(AM28,$U$18:$V$30,2,0),"")</f>
        <v/>
      </c>
      <c r="AO28" s="3">
        <v>3</v>
      </c>
      <c r="AP28" s="3" t="str">
        <f>IFERROR(VLOOKUP(AO28,$U$18:$V$30,2,0),"")</f>
        <v/>
      </c>
      <c r="AQ28" s="3" t="str">
        <f>IF(AND($C$31=$U$17,D28&lt;&gt;""),D28,"")</f>
        <v/>
      </c>
    </row>
    <row r="29" spans="2:43" ht="18.75" customHeight="1" thickBot="1" x14ac:dyDescent="0.3">
      <c r="B29" s="150">
        <f>COUNT(C28:C30)</f>
        <v>0</v>
      </c>
      <c r="C29" s="201"/>
      <c r="D29" s="224"/>
      <c r="E29" s="186"/>
      <c r="F29" s="187" t="s">
        <v>302</v>
      </c>
      <c r="G29" s="146"/>
      <c r="I29" s="132" t="str">
        <f>AG29</f>
        <v/>
      </c>
      <c r="N29" s="179" t="b">
        <v>0</v>
      </c>
      <c r="O29" s="138" t="str">
        <f>IF(N29=TRUE,C29,"")</f>
        <v/>
      </c>
      <c r="P29" s="1" t="str">
        <f>IFERROR(RANK(O29,$O$18:$O$30,1),"")</f>
        <v/>
      </c>
      <c r="Q29" s="139" t="str">
        <f>IF(N29=TRUE,D29,"")</f>
        <v/>
      </c>
      <c r="T29" s="1" t="str">
        <f>IF(C29="","",IF(N29=FALSE,C29,""))</f>
        <v/>
      </c>
      <c r="U29" s="1" t="str">
        <f>IFERROR(RANK(T29,$T$18:$T$30,1),"")</f>
        <v/>
      </c>
      <c r="V29" s="1" t="str">
        <f>IF(D29="","",IF(N29=FALSE,D29,""))</f>
        <v/>
      </c>
      <c r="AG29" s="147" t="str">
        <f t="shared" si="0"/>
        <v/>
      </c>
      <c r="AL29" s="3" t="str">
        <f>IFERROR(VLOOKUP(AK29,$U$18:$V$30,2,0),"")</f>
        <v/>
      </c>
      <c r="AN29" s="3" t="str">
        <f>IFERROR(VLOOKUP(AM29,$U$18:$V$30,2,0),"")</f>
        <v/>
      </c>
      <c r="AO29" s="3">
        <v>4</v>
      </c>
      <c r="AP29" s="3" t="str">
        <f>IFERROR(VLOOKUP(AO29,$U$18:$V$30,2,0),"")</f>
        <v/>
      </c>
      <c r="AQ29" s="3" t="str">
        <f>IF(AND($C$31=$U$17,D29&lt;&gt;""),D29,"")</f>
        <v/>
      </c>
    </row>
    <row r="30" spans="2:43" ht="18.75" customHeight="1" thickBot="1" x14ac:dyDescent="0.3">
      <c r="C30" s="202"/>
      <c r="D30" s="225"/>
      <c r="E30" s="186"/>
      <c r="F30" s="187" t="s">
        <v>302</v>
      </c>
      <c r="G30" s="146"/>
      <c r="I30" s="133" t="str">
        <f>AG30</f>
        <v/>
      </c>
      <c r="N30" s="179" t="b">
        <v>0</v>
      </c>
      <c r="O30" s="141" t="str">
        <f>IF(N30=TRUE,C30,"")</f>
        <v/>
      </c>
      <c r="P30" s="142" t="str">
        <f>IFERROR(RANK(O30,$O$18:$O$30,1),"")</f>
        <v/>
      </c>
      <c r="Q30" s="143" t="str">
        <f>IF(N30=TRUE,D30,"")</f>
        <v/>
      </c>
      <c r="T30" s="1" t="str">
        <f>IF(C30="","",IF(N30=FALSE,C30,""))</f>
        <v/>
      </c>
      <c r="U30" s="1" t="str">
        <f>IFERROR(RANK(T30,$T$18:$T$30,1),"")</f>
        <v/>
      </c>
      <c r="V30" s="1" t="str">
        <f>IF(D30="","",IF(N30=FALSE,D30,""))</f>
        <v/>
      </c>
      <c r="AG30" s="147" t="str">
        <f t="shared" si="0"/>
        <v/>
      </c>
      <c r="AL30" s="3" t="str">
        <f>IFERROR(VLOOKUP(AK30,$U$18:$V$30,2,0),"")</f>
        <v/>
      </c>
      <c r="AN30" s="3" t="str">
        <f>IFERROR(VLOOKUP(AM30,$U$18:$V$30,2,0),"")</f>
        <v/>
      </c>
      <c r="AO30" s="3">
        <v>9</v>
      </c>
      <c r="AP30" s="3" t="str">
        <f>IFERROR(VLOOKUP(AO30,$U$18:$V$30,2,0),"")</f>
        <v/>
      </c>
      <c r="AQ30" s="3" t="str">
        <f>IF(AND($C$31=$U$17,D30&lt;&gt;""),D30,"")</f>
        <v/>
      </c>
    </row>
    <row r="31" spans="2:43" ht="18.75" customHeight="1" x14ac:dyDescent="0.25">
      <c r="C31" s="150">
        <f>COUNT(C18:C30)</f>
        <v>0</v>
      </c>
    </row>
    <row r="32" spans="2:43" ht="6" customHeight="1" x14ac:dyDescent="0.25">
      <c r="B32" s="123"/>
      <c r="C32" s="134"/>
      <c r="D32" s="124"/>
      <c r="E32" s="124"/>
      <c r="F32" s="124"/>
      <c r="G32" s="124"/>
    </row>
    <row r="33" spans="2:17" ht="18.75" customHeight="1" thickBot="1" x14ac:dyDescent="0.3">
      <c r="D33" s="3" t="s">
        <v>303</v>
      </c>
      <c r="E33" s="124"/>
      <c r="F33" s="124"/>
      <c r="G33" s="124"/>
    </row>
    <row r="34" spans="2:17" ht="18.75" customHeight="1" x14ac:dyDescent="0.25">
      <c r="B34" s="120" t="s">
        <v>302</v>
      </c>
      <c r="C34" s="150">
        <f>COUNTBLANK(D34:D38)</f>
        <v>5</v>
      </c>
      <c r="D34" s="170" t="str">
        <f>IF(Q34="","",Q34)</f>
        <v/>
      </c>
      <c r="E34" s="124"/>
      <c r="F34" s="124"/>
      <c r="G34" s="124"/>
      <c r="O34" s="135">
        <v>1</v>
      </c>
      <c r="P34" s="136"/>
      <c r="Q34" s="137" t="str">
        <f>IFERROR(VLOOKUP(O34,$P$18:$Q$30,2,0),"")</f>
        <v/>
      </c>
    </row>
    <row r="35" spans="2:17" ht="18.75" customHeight="1" x14ac:dyDescent="0.25">
      <c r="D35" s="171" t="str">
        <f>IF(Q35="","",Q35)</f>
        <v/>
      </c>
      <c r="E35" s="124"/>
      <c r="F35" s="124"/>
      <c r="G35" s="124"/>
      <c r="O35" s="140">
        <v>2</v>
      </c>
      <c r="Q35" s="139" t="str">
        <f>IFERROR(VLOOKUP(O35,$P$18:$Q$30,2,0),"")</f>
        <v/>
      </c>
    </row>
    <row r="36" spans="2:17" ht="18.75" customHeight="1" x14ac:dyDescent="0.25">
      <c r="D36" s="171" t="str">
        <f>IF(Q36="","",Q36)</f>
        <v/>
      </c>
      <c r="E36" s="124"/>
      <c r="F36" s="124"/>
      <c r="G36" s="124"/>
      <c r="O36" s="140">
        <v>3</v>
      </c>
      <c r="Q36" s="139" t="str">
        <f>IFERROR(VLOOKUP(O36,$P$18:$Q$30,2,0),"")</f>
        <v/>
      </c>
    </row>
    <row r="37" spans="2:17" ht="18.75" customHeight="1" x14ac:dyDescent="0.25">
      <c r="D37" s="171" t="str">
        <f>IF(Q37="","",Q37)</f>
        <v/>
      </c>
      <c r="E37" s="124"/>
      <c r="F37" s="124"/>
      <c r="G37" s="124"/>
      <c r="O37" s="140">
        <v>4</v>
      </c>
      <c r="Q37" s="139" t="str">
        <f>IFERROR(VLOOKUP(O37,$P$18:$Q$30,2,0),"")</f>
        <v/>
      </c>
    </row>
    <row r="38" spans="2:17" ht="18.75" customHeight="1" thickBot="1" x14ac:dyDescent="0.3">
      <c r="D38" s="172" t="str">
        <f>IF(Q38="","",Q38)</f>
        <v/>
      </c>
      <c r="E38" s="120"/>
      <c r="F38" s="150">
        <f>SUM(F39:F39)</f>
        <v>0</v>
      </c>
      <c r="G38" s="124"/>
      <c r="O38" s="144">
        <v>5</v>
      </c>
      <c r="P38" s="145"/>
      <c r="Q38" s="143" t="str">
        <f>IFERROR(VLOOKUP(O38,$P$18:$Q$30,2,0),"")</f>
        <v/>
      </c>
    </row>
    <row r="39" spans="2:17" ht="10.5" customHeight="1" x14ac:dyDescent="0.25">
      <c r="E39" s="44"/>
      <c r="F39" s="150">
        <f>IF(D34="",0,1)</f>
        <v>0</v>
      </c>
    </row>
  </sheetData>
  <sheetProtection sheet="1" selectLockedCells="1" pivotTables="0"/>
  <mergeCells count="4">
    <mergeCell ref="E15:F17"/>
    <mergeCell ref="I14:I16"/>
    <mergeCell ref="D15:D16"/>
    <mergeCell ref="B2:J2"/>
  </mergeCells>
  <phoneticPr fontId="10" type="noConversion"/>
  <conditionalFormatting sqref="F18">
    <cfRule type="expression" dxfId="35" priority="10">
      <formula>$N$18=TRUE</formula>
    </cfRule>
  </conditionalFormatting>
  <conditionalFormatting sqref="F19">
    <cfRule type="expression" dxfId="34" priority="9">
      <formula>$N$19=TRUE</formula>
    </cfRule>
  </conditionalFormatting>
  <conditionalFormatting sqref="F20">
    <cfRule type="expression" dxfId="33" priority="8">
      <formula>$N$20=TRUE</formula>
    </cfRule>
  </conditionalFormatting>
  <conditionalFormatting sqref="F23">
    <cfRule type="expression" dxfId="32" priority="7">
      <formula>$N$23=TRUE</formula>
    </cfRule>
  </conditionalFormatting>
  <conditionalFormatting sqref="F24">
    <cfRule type="expression" dxfId="31" priority="6">
      <formula>$N$24=TRUE</formula>
    </cfRule>
  </conditionalFormatting>
  <conditionalFormatting sqref="F25">
    <cfRule type="expression" dxfId="30" priority="5">
      <formula>$N$25=TRUE</formula>
    </cfRule>
  </conditionalFormatting>
  <conditionalFormatting sqref="F28">
    <cfRule type="expression" dxfId="29" priority="4">
      <formula>$N$28=TRUE</formula>
    </cfRule>
  </conditionalFormatting>
  <conditionalFormatting sqref="F29">
    <cfRule type="expression" dxfId="28" priority="3">
      <formula>$N$29=TRUE</formula>
    </cfRule>
  </conditionalFormatting>
  <conditionalFormatting sqref="F30">
    <cfRule type="expression" dxfId="27" priority="2">
      <formula>$N$30=TRUE</formula>
    </cfRule>
  </conditionalFormatting>
  <conditionalFormatting sqref="I14:I30">
    <cfRule type="expression" dxfId="26" priority="1">
      <formula>$C$34=5</formula>
    </cfRule>
  </conditionalFormatting>
  <dataValidations count="4">
    <dataValidation type="list" allowBlank="1" showInputMessage="1" showErrorMessage="1" sqref="D7:E7">
      <formula1>listeClubs</formula1>
    </dataValidation>
    <dataValidation type="list" allowBlank="1" showInputMessage="1" showErrorMessage="1" sqref="F8">
      <formula1>$G$6:$G$9</formula1>
    </dataValidation>
    <dataValidation type="list" allowBlank="1" showInputMessage="1" showErrorMessage="1" sqref="BD10">
      <formula1>$A$3:$A$4</formula1>
    </dataValidation>
    <dataValidation type="list" allowBlank="1" showInputMessage="1" showErrorMessage="1" sqref="D18:D20 D23:D25 D28:D30">
      <formula1>$AG$2:$AG$14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locked="0" defaultSize="0" autoFill="0" autoLine="0" autoPict="0">
                <anchor moveWithCells="1">
                  <from>
                    <xdr:col>4</xdr:col>
                    <xdr:colOff>9525</xdr:colOff>
                    <xdr:row>17</xdr:row>
                    <xdr:rowOff>9525</xdr:rowOff>
                  </from>
                  <to>
                    <xdr:col>5</xdr:col>
                    <xdr:colOff>438150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locked="0" defaultSize="0" autoFill="0" autoLine="0" autoPict="0">
                <anchor moveWithCells="1">
                  <from>
                    <xdr:col>4</xdr:col>
                    <xdr:colOff>9525</xdr:colOff>
                    <xdr:row>18</xdr:row>
                    <xdr:rowOff>9525</xdr:rowOff>
                  </from>
                  <to>
                    <xdr:col>5</xdr:col>
                    <xdr:colOff>438150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locked="0" defaultSize="0" autoFill="0" autoLine="0" autoPict="0">
                <anchor moveWithCells="1">
                  <from>
                    <xdr:col>4</xdr:col>
                    <xdr:colOff>9525</xdr:colOff>
                    <xdr:row>19</xdr:row>
                    <xdr:rowOff>9525</xdr:rowOff>
                  </from>
                  <to>
                    <xdr:col>5</xdr:col>
                    <xdr:colOff>438150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locked="0" defaultSize="0" autoFill="0" autoLine="0" autoPict="0">
                <anchor moveWithCells="1">
                  <from>
                    <xdr:col>4</xdr:col>
                    <xdr:colOff>9525</xdr:colOff>
                    <xdr:row>22</xdr:row>
                    <xdr:rowOff>9525</xdr:rowOff>
                  </from>
                  <to>
                    <xdr:col>5</xdr:col>
                    <xdr:colOff>428625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locked="0" defaultSize="0" autoFill="0" autoLine="0" autoPict="0">
                <anchor moveWithCells="1">
                  <from>
                    <xdr:col>4</xdr:col>
                    <xdr:colOff>9525</xdr:colOff>
                    <xdr:row>23</xdr:row>
                    <xdr:rowOff>9525</xdr:rowOff>
                  </from>
                  <to>
                    <xdr:col>5</xdr:col>
                    <xdr:colOff>428625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locked="0" defaultSize="0" autoFill="0" autoLine="0" autoPict="0">
                <anchor moveWithCells="1">
                  <from>
                    <xdr:col>4</xdr:col>
                    <xdr:colOff>9525</xdr:colOff>
                    <xdr:row>24</xdr:row>
                    <xdr:rowOff>9525</xdr:rowOff>
                  </from>
                  <to>
                    <xdr:col>5</xdr:col>
                    <xdr:colOff>428625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locked="0" defaultSize="0" autoFill="0" autoLine="0" autoPict="0">
                <anchor moveWithCells="1">
                  <from>
                    <xdr:col>4</xdr:col>
                    <xdr:colOff>9525</xdr:colOff>
                    <xdr:row>27</xdr:row>
                    <xdr:rowOff>9525</xdr:rowOff>
                  </from>
                  <to>
                    <xdr:col>5</xdr:col>
                    <xdr:colOff>438150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locked="0" defaultSize="0" autoFill="0" autoLine="0" autoPict="0">
                <anchor moveWithCells="1">
                  <from>
                    <xdr:col>4</xdr:col>
                    <xdr:colOff>9525</xdr:colOff>
                    <xdr:row>28</xdr:row>
                    <xdr:rowOff>9525</xdr:rowOff>
                  </from>
                  <to>
                    <xdr:col>5</xdr:col>
                    <xdr:colOff>438150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locked="0" defaultSize="0" autoFill="0" autoLine="0" autoPict="0">
                <anchor moveWithCells="1">
                  <from>
                    <xdr:col>4</xdr:col>
                    <xdr:colOff>9525</xdr:colOff>
                    <xdr:row>29</xdr:row>
                    <xdr:rowOff>9525</xdr:rowOff>
                  </from>
                  <to>
                    <xdr:col>5</xdr:col>
                    <xdr:colOff>438150</xdr:colOff>
                    <xdr:row>29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rgb="FF00B0F0"/>
  </sheetPr>
  <dimension ref="A2:BB61"/>
  <sheetViews>
    <sheetView showGridLines="0" workbookViewId="0">
      <selection activeCell="D8" sqref="D8"/>
    </sheetView>
  </sheetViews>
  <sheetFormatPr baseColWidth="10" defaultRowHeight="15" customHeight="1" x14ac:dyDescent="0.25"/>
  <cols>
    <col min="1" max="1" width="7.140625" customWidth="1"/>
    <col min="2" max="2" width="12.42578125" customWidth="1"/>
    <col min="3" max="3" width="30.85546875" customWidth="1"/>
    <col min="4" max="4" width="12" customWidth="1"/>
    <col min="5" max="5" width="9.85546875" customWidth="1"/>
    <col min="6" max="6" width="7.140625" hidden="1" customWidth="1"/>
    <col min="7" max="7" width="10.42578125" customWidth="1"/>
    <col min="8" max="8" width="6" customWidth="1"/>
    <col min="9" max="9" width="2.85546875" hidden="1" customWidth="1"/>
    <col min="10" max="13" width="4.5703125" hidden="1" customWidth="1"/>
    <col min="14" max="14" width="3" hidden="1" customWidth="1"/>
    <col min="15" max="15" width="8.42578125" hidden="1" customWidth="1"/>
    <col min="16" max="16" width="25.28515625" hidden="1" customWidth="1"/>
    <col min="17" max="17" width="5.7109375" hidden="1" customWidth="1"/>
    <col min="18" max="18" width="23.28515625" hidden="1" customWidth="1"/>
    <col min="19" max="19" width="2" hidden="1" customWidth="1"/>
    <col min="20" max="20" width="10.140625" hidden="1" customWidth="1"/>
    <col min="21" max="21" width="4.5703125" hidden="1" customWidth="1"/>
    <col min="22" max="22" width="2" style="1" hidden="1" customWidth="1"/>
    <col min="23" max="23" width="4.5703125" hidden="1" customWidth="1"/>
    <col min="24" max="24" width="3" hidden="1" customWidth="1"/>
    <col min="25" max="25" width="5.5703125" hidden="1" customWidth="1"/>
    <col min="26" max="27" width="4.5703125" hidden="1" customWidth="1"/>
    <col min="28" max="29" width="23.28515625" hidden="1" customWidth="1"/>
    <col min="30" max="30" width="4" hidden="1" customWidth="1"/>
    <col min="31" max="36" width="2" hidden="1" customWidth="1"/>
    <col min="37" max="38" width="3" hidden="1" customWidth="1"/>
    <col min="39" max="41" width="4.5703125" hidden="1" customWidth="1"/>
    <col min="42" max="42" width="0" hidden="1" customWidth="1"/>
    <col min="43" max="43" width="14" style="1" hidden="1" customWidth="1"/>
    <col min="44" max="44" width="23.28515625" style="1" hidden="1" customWidth="1"/>
    <col min="45" max="45" width="7.140625" style="1" hidden="1" customWidth="1"/>
    <col min="46" max="47" width="9.28515625" style="1" hidden="1" customWidth="1"/>
    <col min="48" max="54" width="0" style="1" hidden="1" customWidth="1"/>
    <col min="55" max="55" width="0" hidden="1" customWidth="1"/>
  </cols>
  <sheetData>
    <row r="2" spans="1:47" ht="15" customHeight="1" x14ac:dyDescent="0.25">
      <c r="B2" s="249" t="s">
        <v>313</v>
      </c>
      <c r="C2" s="249"/>
      <c r="D2" s="249"/>
      <c r="E2" s="249"/>
      <c r="F2" s="249"/>
      <c r="G2" s="249"/>
      <c r="H2" s="151"/>
    </row>
    <row r="3" spans="1:47" ht="15" customHeight="1" x14ac:dyDescent="0.25">
      <c r="B3" s="249"/>
      <c r="C3" s="249"/>
      <c r="D3" s="249"/>
      <c r="E3" s="249"/>
      <c r="F3" s="249"/>
      <c r="G3" s="249"/>
      <c r="H3" s="151"/>
    </row>
    <row r="4" spans="1:47" ht="15" customHeight="1" x14ac:dyDescent="0.25">
      <c r="A4" s="89"/>
      <c r="C4" s="89"/>
      <c r="D4" s="89"/>
      <c r="E4" s="89"/>
      <c r="F4" s="89"/>
      <c r="G4" s="89"/>
      <c r="H4" s="89"/>
      <c r="I4" s="89"/>
      <c r="O4" s="90" t="str">
        <f>'Calc Inscription Joueurs'!A16</f>
        <v>Aucune</v>
      </c>
      <c r="P4" s="90" t="str">
        <f>'Calc Inscription Joueurs'!AA4</f>
        <v>Aucune</v>
      </c>
    </row>
    <row r="5" spans="1:47" ht="15" customHeight="1" thickBot="1" x14ac:dyDescent="0.3">
      <c r="A5" s="89"/>
      <c r="C5" s="168" t="str">
        <f>IF('Calc Inscription Joueurs'!C4="","",'Calc Inscription Joueurs'!C4)</f>
        <v>5 Quilles N1</v>
      </c>
      <c r="D5" s="248"/>
      <c r="E5" s="248"/>
      <c r="F5" s="248"/>
      <c r="G5" s="89"/>
      <c r="H5" s="89"/>
      <c r="I5" s="89"/>
    </row>
    <row r="6" spans="1:47" ht="19.5" customHeight="1" thickBot="1" x14ac:dyDescent="0.3">
      <c r="A6" s="89"/>
      <c r="B6" s="91" t="str">
        <f>'Calc Feuille de résultats'!B6</f>
        <v>POULE 1</v>
      </c>
      <c r="C6" s="92" t="str">
        <f>'Calc Feuille de résultats'!C5</f>
        <v>Match 1</v>
      </c>
      <c r="D6" s="93" t="s">
        <v>98</v>
      </c>
      <c r="E6" s="93" t="s">
        <v>356</v>
      </c>
      <c r="F6" s="93">
        <v>3</v>
      </c>
      <c r="G6" s="94" t="s">
        <v>127</v>
      </c>
      <c r="H6" s="89"/>
      <c r="I6" s="89"/>
      <c r="AC6">
        <v>1</v>
      </c>
      <c r="AD6">
        <v>2</v>
      </c>
      <c r="AE6">
        <v>3</v>
      </c>
      <c r="AF6">
        <v>4</v>
      </c>
      <c r="AG6">
        <v>5</v>
      </c>
      <c r="AH6">
        <v>6</v>
      </c>
      <c r="AI6">
        <v>7</v>
      </c>
      <c r="AQ6" s="1" t="str">
        <f>B6</f>
        <v>POULE 1</v>
      </c>
      <c r="AR6" s="1" t="str">
        <f>C6</f>
        <v>Match 1</v>
      </c>
      <c r="AS6" s="1" t="s">
        <v>333</v>
      </c>
      <c r="AT6" s="1" t="s">
        <v>334</v>
      </c>
      <c r="AU6" s="1" t="s">
        <v>335</v>
      </c>
    </row>
    <row r="7" spans="1:47" ht="22.5" customHeight="1" x14ac:dyDescent="0.25">
      <c r="A7" s="89"/>
      <c r="B7" s="95" t="s">
        <v>123</v>
      </c>
      <c r="C7" s="96" t="str">
        <f>IFERROR('Calc Feuille de résultats'!C6,"")</f>
        <v/>
      </c>
      <c r="D7" s="163"/>
      <c r="E7" s="234" t="str">
        <f>IF(D7="","",IF(D7&lt;D8,1,2))</f>
        <v/>
      </c>
      <c r="F7" s="163"/>
      <c r="G7" s="97" t="str">
        <f>IF(OR(D7="",D8=""),"",D7/D8)</f>
        <v/>
      </c>
      <c r="H7" s="89"/>
      <c r="I7" s="89"/>
      <c r="AC7" s="98" t="str">
        <f t="shared" ref="AC7:AF8" si="0">C7</f>
        <v/>
      </c>
      <c r="AD7" s="5">
        <f t="shared" si="0"/>
        <v>0</v>
      </c>
      <c r="AE7" s="5" t="str">
        <f t="shared" si="0"/>
        <v/>
      </c>
      <c r="AF7" s="6">
        <f t="shared" si="0"/>
        <v>0</v>
      </c>
      <c r="AG7" t="str">
        <f>IF(AC7="","",IF($AD7&gt;$AD8,1,0))</f>
        <v/>
      </c>
      <c r="AH7" t="str">
        <f>IF(AC7="","",IF(AD7=AD8,1,0))</f>
        <v/>
      </c>
      <c r="AI7" t="str">
        <f>IF(AC7="","",IF(AD7&lt;AD8,1,0))</f>
        <v/>
      </c>
      <c r="AQ7" s="1" t="str">
        <f>B7</f>
        <v>Format billard:</v>
      </c>
      <c r="AR7" s="1" t="str">
        <f t="shared" ref="AR7:AU8" si="1">C7</f>
        <v/>
      </c>
      <c r="AS7" s="1">
        <f t="shared" si="1"/>
        <v>0</v>
      </c>
      <c r="AT7" s="1" t="str">
        <f t="shared" si="1"/>
        <v/>
      </c>
      <c r="AU7" s="1">
        <f t="shared" si="1"/>
        <v>0</v>
      </c>
    </row>
    <row r="8" spans="1:47" ht="22.5" customHeight="1" thickBot="1" x14ac:dyDescent="0.3">
      <c r="A8" s="89"/>
      <c r="B8" s="204" t="s">
        <v>129</v>
      </c>
      <c r="C8" s="99" t="str">
        <f>IFERROR('Calc Feuille de résultats'!C7,"")</f>
        <v/>
      </c>
      <c r="D8" s="164"/>
      <c r="E8" s="235" t="str">
        <f>IF(D8="","",IF(D8&lt;D7,1,2))</f>
        <v/>
      </c>
      <c r="F8" s="164"/>
      <c r="G8" s="100" t="str">
        <f>IF(OR(D8="",D7=""),"",(D8/D7))</f>
        <v/>
      </c>
      <c r="H8" s="89"/>
      <c r="I8" s="89"/>
      <c r="P8" t="s">
        <v>285</v>
      </c>
      <c r="AC8" s="10" t="str">
        <f t="shared" si="0"/>
        <v/>
      </c>
      <c r="AD8">
        <f t="shared" si="0"/>
        <v>0</v>
      </c>
      <c r="AE8" t="str">
        <f t="shared" si="0"/>
        <v/>
      </c>
      <c r="AF8" s="101">
        <f t="shared" si="0"/>
        <v>0</v>
      </c>
      <c r="AG8" t="str">
        <f>IF(AC8="","",IF($AD8&gt;$AD7,1,0))</f>
        <v/>
      </c>
      <c r="AH8" t="str">
        <f>IF(AC8="","",IF(AD8=AD7,1,0))</f>
        <v/>
      </c>
      <c r="AI8" t="str">
        <f>IF(AC8="","",IF(AD8&lt;AD7,1,0))</f>
        <v/>
      </c>
      <c r="AQ8" s="1" t="str">
        <f>B8</f>
        <v>2m80</v>
      </c>
      <c r="AR8" s="1" t="str">
        <f t="shared" si="1"/>
        <v/>
      </c>
      <c r="AS8" s="1">
        <f t="shared" si="1"/>
        <v>0</v>
      </c>
      <c r="AT8" s="1" t="str">
        <f t="shared" si="1"/>
        <v/>
      </c>
      <c r="AU8" s="1">
        <f t="shared" si="1"/>
        <v>0</v>
      </c>
    </row>
    <row r="9" spans="1:47" ht="3.75" customHeight="1" thickBot="1" x14ac:dyDescent="0.3">
      <c r="A9" s="89"/>
      <c r="B9" s="102"/>
      <c r="C9" s="102"/>
      <c r="D9" s="150">
        <f>COUNTA(D7:F8)-1</f>
        <v>1</v>
      </c>
      <c r="E9" s="102"/>
      <c r="F9" s="102"/>
      <c r="G9" s="103"/>
      <c r="H9" s="89"/>
      <c r="I9" s="89"/>
      <c r="P9" s="104" t="s">
        <v>284</v>
      </c>
      <c r="Q9" s="104"/>
      <c r="R9" s="104"/>
      <c r="AC9" s="10"/>
      <c r="AF9" s="101"/>
    </row>
    <row r="10" spans="1:47" ht="19.5" customHeight="1" thickBot="1" x14ac:dyDescent="0.3">
      <c r="A10" s="89"/>
      <c r="B10" s="91" t="str">
        <f>B6</f>
        <v>POULE 1</v>
      </c>
      <c r="C10" s="105" t="str">
        <f>'Calc Feuille de résultats'!C14</f>
        <v>Match 2</v>
      </c>
      <c r="D10" s="93">
        <v>1</v>
      </c>
      <c r="E10" s="93">
        <v>2</v>
      </c>
      <c r="F10" s="93">
        <v>3</v>
      </c>
      <c r="G10" s="106" t="s">
        <v>127</v>
      </c>
      <c r="H10" s="89"/>
      <c r="I10" s="89"/>
      <c r="AC10" s="10" t="str">
        <f t="shared" ref="AC10:AF11" si="2">C20</f>
        <v/>
      </c>
      <c r="AD10">
        <f t="shared" si="2"/>
        <v>0</v>
      </c>
      <c r="AE10" t="str">
        <f t="shared" si="2"/>
        <v/>
      </c>
      <c r="AF10" s="101">
        <f t="shared" si="2"/>
        <v>0</v>
      </c>
      <c r="AG10" t="str">
        <f>IF(AC10="","",IF($AD10&gt;$AD11,1,0))</f>
        <v/>
      </c>
      <c r="AH10" t="str">
        <f>IF(AC10="","",IF(AD10=AD11,1,0))</f>
        <v/>
      </c>
      <c r="AI10" t="str">
        <f>IF(AC10="","",IF(AD10&lt;AD11,1,0))</f>
        <v/>
      </c>
      <c r="AQ10" s="1" t="str">
        <f>B10</f>
        <v>POULE 1</v>
      </c>
      <c r="AR10" s="1" t="str">
        <f>C10</f>
        <v>Match 2</v>
      </c>
      <c r="AS10" s="1" t="s">
        <v>333</v>
      </c>
      <c r="AT10" s="1" t="s">
        <v>334</v>
      </c>
      <c r="AU10" s="1" t="s">
        <v>335</v>
      </c>
    </row>
    <row r="11" spans="1:47" ht="22.5" customHeight="1" thickBot="1" x14ac:dyDescent="0.3">
      <c r="A11" s="89"/>
      <c r="B11" s="95" t="s">
        <v>123</v>
      </c>
      <c r="C11" s="107" t="str">
        <f>IF(D9&lt;3,"",'Calc Feuille de résultats'!C15)</f>
        <v/>
      </c>
      <c r="D11" s="163"/>
      <c r="E11" s="234" t="str">
        <f>IF(D11="","",IF(D11&lt;D12,1,2))</f>
        <v/>
      </c>
      <c r="F11" s="163"/>
      <c r="G11" s="97" t="str">
        <f>IF(OR(D11="",D12=""),"",D11/D12)</f>
        <v/>
      </c>
      <c r="H11" s="89"/>
      <c r="I11" s="89"/>
      <c r="AB11" t="s">
        <v>290</v>
      </c>
      <c r="AC11" s="10" t="str">
        <f t="shared" si="2"/>
        <v/>
      </c>
      <c r="AD11">
        <f t="shared" si="2"/>
        <v>0</v>
      </c>
      <c r="AE11" t="str">
        <f t="shared" si="2"/>
        <v/>
      </c>
      <c r="AF11" s="101">
        <f t="shared" si="2"/>
        <v>0</v>
      </c>
      <c r="AG11" t="str">
        <f>IF(AC11="","",IF($AD11&gt;$AD10,1,0))</f>
        <v/>
      </c>
      <c r="AH11" t="str">
        <f>IF(AC11="","",IF(AD11=AD10,1,0))</f>
        <v/>
      </c>
      <c r="AI11" t="str">
        <f>IF(AC11="","",IF(AD11&lt;AD10,1,0))</f>
        <v/>
      </c>
      <c r="AQ11" s="1" t="str">
        <f>B11</f>
        <v>Format billard:</v>
      </c>
      <c r="AR11" s="1" t="str">
        <f t="shared" ref="AR11:AU12" si="3">C11</f>
        <v/>
      </c>
      <c r="AS11" s="1">
        <f t="shared" si="3"/>
        <v>0</v>
      </c>
      <c r="AT11" s="1" t="str">
        <f t="shared" si="3"/>
        <v/>
      </c>
      <c r="AU11" s="1">
        <f t="shared" si="3"/>
        <v>0</v>
      </c>
    </row>
    <row r="12" spans="1:47" ht="22.5" customHeight="1" thickBot="1" x14ac:dyDescent="0.3">
      <c r="A12" s="89"/>
      <c r="B12" s="203" t="str">
        <f>B8</f>
        <v>2m80</v>
      </c>
      <c r="C12" s="108" t="str">
        <f>IF(D9&lt;3,"",'Calc Feuille de résultats'!C16)</f>
        <v/>
      </c>
      <c r="D12" s="164"/>
      <c r="E12" s="235" t="str">
        <f>IF(D12="","",IF(D12&lt;D11,1,2))</f>
        <v/>
      </c>
      <c r="F12" s="164"/>
      <c r="G12" s="100" t="str">
        <f>IF(OR(D12="",D11=""),"",(D12/D11))</f>
        <v/>
      </c>
      <c r="H12" s="89"/>
      <c r="I12" s="89"/>
      <c r="O12" s="1" t="s">
        <v>274</v>
      </c>
      <c r="P12" s="109" t="str">
        <f>B8</f>
        <v>2m80</v>
      </c>
      <c r="Q12" s="1" t="s">
        <v>62</v>
      </c>
      <c r="R12" s="245">
        <f>'INSCRIPTION DES JOUEURS'!D9</f>
        <v>0</v>
      </c>
      <c r="S12" s="246"/>
      <c r="T12" s="247"/>
      <c r="AC12" s="10"/>
      <c r="AF12" s="101"/>
      <c r="AQ12" s="1" t="str">
        <f>B12</f>
        <v>2m80</v>
      </c>
      <c r="AR12" s="1" t="str">
        <f t="shared" si="3"/>
        <v/>
      </c>
      <c r="AS12" s="1">
        <f t="shared" si="3"/>
        <v>0</v>
      </c>
      <c r="AT12" s="1" t="str">
        <f t="shared" si="3"/>
        <v/>
      </c>
      <c r="AU12" s="1">
        <f t="shared" si="3"/>
        <v>0</v>
      </c>
    </row>
    <row r="13" spans="1:47" ht="3.75" customHeight="1" thickBot="1" x14ac:dyDescent="0.3">
      <c r="A13" s="89"/>
      <c r="B13" s="102"/>
      <c r="C13" s="102"/>
      <c r="D13" s="150">
        <f>COUNTA(D11:F12)+D9-1</f>
        <v>2</v>
      </c>
      <c r="E13" s="89"/>
      <c r="F13" s="102"/>
      <c r="G13" s="103"/>
      <c r="H13" s="89"/>
      <c r="I13" s="89"/>
      <c r="AC13" s="10" t="str">
        <f t="shared" ref="AC13:AF14" si="4">C33</f>
        <v/>
      </c>
      <c r="AD13">
        <f t="shared" si="4"/>
        <v>0</v>
      </c>
      <c r="AE13" t="str">
        <f t="shared" si="4"/>
        <v/>
      </c>
      <c r="AF13" s="101">
        <f t="shared" si="4"/>
        <v>0</v>
      </c>
      <c r="AG13" t="str">
        <f>IF(AC13="","",IF($AD13&gt;$AD14,1,0))</f>
        <v/>
      </c>
      <c r="AH13" t="str">
        <f>IF(AC13="","",IF(AD13=AD14,1,0))</f>
        <v/>
      </c>
      <c r="AI13" t="str">
        <f>IF(AC13="","",IF(AD13&lt;AD14,1,0))</f>
        <v/>
      </c>
    </row>
    <row r="14" spans="1:47" ht="19.5" customHeight="1" thickBot="1" x14ac:dyDescent="0.3">
      <c r="A14" s="89"/>
      <c r="B14" s="91" t="str">
        <f>B10</f>
        <v>POULE 1</v>
      </c>
      <c r="C14" s="105" t="str">
        <f>'Calc Feuille de résultats'!C23</f>
        <v>Match 3</v>
      </c>
      <c r="D14" s="93">
        <v>1</v>
      </c>
      <c r="E14" s="93">
        <v>2</v>
      </c>
      <c r="F14" s="93">
        <v>3</v>
      </c>
      <c r="G14" s="106" t="s">
        <v>127</v>
      </c>
      <c r="H14" s="89"/>
      <c r="I14" s="89"/>
      <c r="N14" t="str">
        <f>IFERROR(RANK(Y14,$Y$14:$Y$57,1),"")</f>
        <v/>
      </c>
      <c r="O14" s="98" t="s">
        <v>275</v>
      </c>
      <c r="P14" s="5" t="s">
        <v>276</v>
      </c>
      <c r="Q14" s="110" t="str">
        <f>IF(R14="","",VLOOKUP(R14,LISTE!$X$3:$Y$165,2,0))</f>
        <v/>
      </c>
      <c r="R14" s="5" t="str">
        <f>C7</f>
        <v/>
      </c>
      <c r="S14" s="5"/>
      <c r="T14" s="5"/>
      <c r="U14" s="5"/>
      <c r="V14" s="14"/>
      <c r="X14">
        <v>1</v>
      </c>
      <c r="Y14" t="str">
        <f>IF(Q14="","",X14)</f>
        <v/>
      </c>
      <c r="AC14" s="11" t="str">
        <f t="shared" si="4"/>
        <v/>
      </c>
      <c r="AD14" s="9">
        <f t="shared" si="4"/>
        <v>0</v>
      </c>
      <c r="AE14" s="9" t="str">
        <f t="shared" si="4"/>
        <v/>
      </c>
      <c r="AF14" s="111">
        <f t="shared" si="4"/>
        <v>0</v>
      </c>
      <c r="AG14" t="str">
        <f>IF(AC14="","",IF($AD14&gt;$AD13,1,0))</f>
        <v/>
      </c>
      <c r="AH14" t="str">
        <f>IF(AC14="","",IF(AD14=AD13,1,0))</f>
        <v/>
      </c>
      <c r="AI14" t="str">
        <f>IF(AC14="","",IF(AD14&lt;AD13,1,0))</f>
        <v/>
      </c>
      <c r="AQ14" s="1" t="str">
        <f>B14</f>
        <v>POULE 1</v>
      </c>
      <c r="AR14" s="1" t="str">
        <f>C14</f>
        <v>Match 3</v>
      </c>
      <c r="AS14" s="1" t="s">
        <v>333</v>
      </c>
      <c r="AT14" s="1" t="s">
        <v>334</v>
      </c>
      <c r="AU14" s="1" t="s">
        <v>335</v>
      </c>
    </row>
    <row r="15" spans="1:47" ht="22.5" customHeight="1" thickBot="1" x14ac:dyDescent="0.3">
      <c r="A15" s="89"/>
      <c r="B15" s="95" t="str">
        <f>B6</f>
        <v>POULE 1</v>
      </c>
      <c r="C15" s="107" t="str">
        <f>IF(D13&lt;6,"",'Calc Feuille de résultats'!C24)</f>
        <v/>
      </c>
      <c r="D15" s="163"/>
      <c r="E15" s="234" t="str">
        <f>IF(D15="","",IF(D15&lt;D16,1,2))</f>
        <v/>
      </c>
      <c r="F15" s="163"/>
      <c r="G15" s="97" t="str">
        <f>IF(OR(D15="",D16=""),"",D15/D16)</f>
        <v/>
      </c>
      <c r="H15" s="89"/>
      <c r="I15" s="89"/>
      <c r="N15" t="str">
        <f t="shared" ref="N15:N57" si="5">IFERROR(RANK(Y15,$Y$14:$Y$57,1),"")</f>
        <v/>
      </c>
      <c r="O15" s="11"/>
      <c r="P15" s="9" t="s">
        <v>277</v>
      </c>
      <c r="Q15" s="112">
        <f>D7</f>
        <v>0</v>
      </c>
      <c r="R15" s="113" t="str">
        <f>E7</f>
        <v/>
      </c>
      <c r="S15" s="114">
        <f>F7</f>
        <v>0</v>
      </c>
      <c r="T15" s="9" t="s">
        <v>279</v>
      </c>
      <c r="U15" s="9"/>
      <c r="V15" s="113">
        <f>IF(OR(Q15="",Q17=""),"",IF(Q15&gt;Q17,2,IF(Q15=Q17,1,0)))</f>
        <v>1</v>
      </c>
      <c r="X15">
        <v>2</v>
      </c>
      <c r="Y15" t="str">
        <f>IF(Q14="","",X15)</f>
        <v/>
      </c>
      <c r="AQ15" s="1" t="str">
        <f>B15</f>
        <v>POULE 1</v>
      </c>
      <c r="AR15" s="1" t="str">
        <f t="shared" ref="AR15:AU16" si="6">C15</f>
        <v/>
      </c>
      <c r="AS15" s="1">
        <f t="shared" si="6"/>
        <v>0</v>
      </c>
      <c r="AT15" s="1" t="str">
        <f t="shared" si="6"/>
        <v/>
      </c>
      <c r="AU15" s="1">
        <f t="shared" si="6"/>
        <v>0</v>
      </c>
    </row>
    <row r="16" spans="1:47" ht="22.5" customHeight="1" thickBot="1" x14ac:dyDescent="0.3">
      <c r="A16" s="89"/>
      <c r="B16" s="203" t="str">
        <f>B8</f>
        <v>2m80</v>
      </c>
      <c r="C16" s="108" t="str">
        <f>IF(D13&lt;6,"",'Calc Feuille de résultats'!C25)</f>
        <v/>
      </c>
      <c r="D16" s="164"/>
      <c r="E16" s="235" t="str">
        <f>IF(D16="","",IF(D16&lt;D15,1,2))</f>
        <v/>
      </c>
      <c r="F16" s="164"/>
      <c r="G16" s="100" t="str">
        <f>IF(OR(D16="",D15=""),"",(D16/D15))</f>
        <v/>
      </c>
      <c r="H16" s="89"/>
      <c r="I16" s="89"/>
      <c r="N16" t="str">
        <f t="shared" si="5"/>
        <v/>
      </c>
      <c r="O16" s="98" t="s">
        <v>278</v>
      </c>
      <c r="P16" s="5" t="s">
        <v>276</v>
      </c>
      <c r="Q16" s="110" t="str">
        <f>IF(R16="","",VLOOKUP(R16,LISTE!$X$3:$Y$165,2,0))</f>
        <v/>
      </c>
      <c r="R16" s="5" t="str">
        <f>C8</f>
        <v/>
      </c>
      <c r="S16" s="5"/>
      <c r="T16" s="5"/>
      <c r="U16" s="5"/>
      <c r="V16" s="14"/>
      <c r="X16">
        <v>3</v>
      </c>
      <c r="Y16" t="str">
        <f t="shared" ref="Y16:Y56" si="7">IF(Q16="","",X16)</f>
        <v/>
      </c>
      <c r="AC16" s="98" t="str">
        <f t="shared" ref="AC16:AF17" si="8">C11</f>
        <v/>
      </c>
      <c r="AD16" s="5">
        <f t="shared" si="8"/>
        <v>0</v>
      </c>
      <c r="AE16" s="5" t="str">
        <f t="shared" si="8"/>
        <v/>
      </c>
      <c r="AF16" s="6">
        <f t="shared" si="8"/>
        <v>0</v>
      </c>
      <c r="AG16" t="str">
        <f>IF(AC16="","",IF($AD16&gt;$AD17,1,0))</f>
        <v/>
      </c>
      <c r="AH16" t="str">
        <f>IF(AC16="","",IF(AD16=AD17,1,0))</f>
        <v/>
      </c>
      <c r="AI16" t="str">
        <f>IF(AC16="","",IF(AD16&lt;AD17,1,0))</f>
        <v/>
      </c>
      <c r="AQ16" s="1" t="str">
        <f>B16</f>
        <v>2m80</v>
      </c>
      <c r="AR16" s="1" t="str">
        <f t="shared" si="6"/>
        <v/>
      </c>
      <c r="AS16" s="1">
        <f t="shared" si="6"/>
        <v>0</v>
      </c>
      <c r="AT16" s="1" t="str">
        <f t="shared" si="6"/>
        <v/>
      </c>
      <c r="AU16" s="1">
        <f t="shared" si="6"/>
        <v>0</v>
      </c>
    </row>
    <row r="17" spans="1:47" ht="15.75" thickBot="1" x14ac:dyDescent="0.3">
      <c r="A17" s="89"/>
      <c r="B17" s="31"/>
      <c r="C17" s="89"/>
      <c r="D17" s="89"/>
      <c r="E17" s="89"/>
      <c r="F17" s="89"/>
      <c r="G17" s="115"/>
      <c r="H17" s="89"/>
      <c r="I17" s="89"/>
      <c r="N17" t="str">
        <f t="shared" si="5"/>
        <v/>
      </c>
      <c r="O17" s="11"/>
      <c r="P17" s="9" t="s">
        <v>277</v>
      </c>
      <c r="Q17" s="113">
        <f>D8</f>
        <v>0</v>
      </c>
      <c r="R17" s="114" t="str">
        <f>E8</f>
        <v/>
      </c>
      <c r="S17" s="113">
        <f>F8</f>
        <v>0</v>
      </c>
      <c r="T17" s="9" t="s">
        <v>279</v>
      </c>
      <c r="U17" s="9"/>
      <c r="V17" s="113">
        <f>IF(OR(Q17="",Q15=""),"",IF(Q17&gt;Q15,2,IF(Q17=Q15,1,0)))</f>
        <v>1</v>
      </c>
      <c r="X17">
        <v>4</v>
      </c>
      <c r="Y17" t="str">
        <f>IF(Q16="","",X17)</f>
        <v/>
      </c>
      <c r="AC17" s="10" t="str">
        <f t="shared" si="8"/>
        <v/>
      </c>
      <c r="AD17">
        <f t="shared" si="8"/>
        <v>0</v>
      </c>
      <c r="AE17" t="str">
        <f t="shared" si="8"/>
        <v/>
      </c>
      <c r="AF17" s="101">
        <f t="shared" si="8"/>
        <v>0</v>
      </c>
      <c r="AG17" t="str">
        <f>IF(AC17="","",IF($AD17&gt;$AD16,1,0))</f>
        <v/>
      </c>
      <c r="AH17" t="str">
        <f>IF(AC17="","",IF(AD17=AD16,1,0))</f>
        <v/>
      </c>
      <c r="AI17" t="str">
        <f>IF(AC17="","",IF(AD17&lt;AD16,1,0))</f>
        <v/>
      </c>
    </row>
    <row r="18" spans="1:47" ht="15" customHeight="1" thickBot="1" x14ac:dyDescent="0.3">
      <c r="A18" s="89"/>
      <c r="B18" s="31"/>
      <c r="C18" s="168" t="str">
        <f>IF(C19="","",$C$5)</f>
        <v>5 Quilles N1</v>
      </c>
      <c r="D18" s="248"/>
      <c r="E18" s="248"/>
      <c r="F18" s="248"/>
      <c r="G18" s="115"/>
      <c r="H18" s="89"/>
      <c r="I18" s="89"/>
      <c r="N18" t="str">
        <f t="shared" si="5"/>
        <v/>
      </c>
      <c r="X18">
        <v>5</v>
      </c>
      <c r="Y18" t="str">
        <f t="shared" si="7"/>
        <v/>
      </c>
      <c r="AC18" s="10"/>
      <c r="AF18" s="101"/>
    </row>
    <row r="19" spans="1:47" ht="19.5" customHeight="1" thickBot="1" x14ac:dyDescent="0.3">
      <c r="A19" s="89"/>
      <c r="B19" s="91" t="str">
        <f>'Calc Feuille de résultats'!M6</f>
        <v>POULE 2</v>
      </c>
      <c r="C19" s="105" t="str">
        <f>'Calc Feuille de résultats'!N5</f>
        <v>Match 1</v>
      </c>
      <c r="D19" s="93">
        <v>1</v>
      </c>
      <c r="E19" s="93">
        <v>2</v>
      </c>
      <c r="F19" s="93">
        <v>3</v>
      </c>
      <c r="G19" s="106" t="s">
        <v>127</v>
      </c>
      <c r="H19" s="89"/>
      <c r="I19" s="89"/>
      <c r="N19" t="str">
        <f t="shared" si="5"/>
        <v/>
      </c>
      <c r="O19" s="98" t="s">
        <v>275</v>
      </c>
      <c r="P19" s="5" t="s">
        <v>276</v>
      </c>
      <c r="Q19" s="110" t="str">
        <f>IF(R19="","",VLOOKUP(R19,LISTE!$X$3:$Y$165,2,0))</f>
        <v/>
      </c>
      <c r="R19" s="5" t="str">
        <f>C11</f>
        <v/>
      </c>
      <c r="S19" s="5"/>
      <c r="T19" s="5"/>
      <c r="U19" s="5"/>
      <c r="V19" s="14"/>
      <c r="X19">
        <v>6</v>
      </c>
      <c r="Y19" t="str">
        <f t="shared" si="7"/>
        <v/>
      </c>
      <c r="AB19" t="s">
        <v>291</v>
      </c>
      <c r="AC19" s="10" t="str">
        <f t="shared" ref="AC19:AF20" si="9">C24</f>
        <v/>
      </c>
      <c r="AD19">
        <f t="shared" si="9"/>
        <v>0</v>
      </c>
      <c r="AE19" t="str">
        <f t="shared" si="9"/>
        <v/>
      </c>
      <c r="AF19" s="101">
        <f t="shared" si="9"/>
        <v>0</v>
      </c>
      <c r="AG19" t="str">
        <f>IF(AC19="","",IF($AD19&gt;$AD20,1,0))</f>
        <v/>
      </c>
      <c r="AH19" t="str">
        <f>IF(AC19="","",IF(AD19=AD20,1,0))</f>
        <v/>
      </c>
      <c r="AI19" t="str">
        <f>IF(AC19="","",IF(AD19&lt;AD20,1,0))</f>
        <v/>
      </c>
      <c r="AQ19" s="1" t="str">
        <f>B19</f>
        <v>POULE 2</v>
      </c>
      <c r="AR19" s="1" t="str">
        <f>C19</f>
        <v>Match 1</v>
      </c>
      <c r="AS19" s="1" t="s">
        <v>333</v>
      </c>
      <c r="AT19" s="1" t="s">
        <v>334</v>
      </c>
      <c r="AU19" s="1" t="s">
        <v>335</v>
      </c>
    </row>
    <row r="20" spans="1:47" ht="22.5" customHeight="1" thickBot="1" x14ac:dyDescent="0.3">
      <c r="A20" s="89"/>
      <c r="B20" s="95" t="s">
        <v>123</v>
      </c>
      <c r="C20" s="96" t="str">
        <f>IFERROR('Calc Feuille de résultats'!N6,"")</f>
        <v/>
      </c>
      <c r="D20" s="163"/>
      <c r="E20" s="234" t="str">
        <f>IF(D20="","",IF(D20&lt;D21,1,2))</f>
        <v/>
      </c>
      <c r="F20" s="163"/>
      <c r="G20" s="97" t="str">
        <f>IF(OR(D20="",D21=""),"",D20/D21)</f>
        <v/>
      </c>
      <c r="H20" s="89"/>
      <c r="I20" s="89"/>
      <c r="N20" t="str">
        <f t="shared" si="5"/>
        <v/>
      </c>
      <c r="O20" s="11"/>
      <c r="P20" s="9" t="s">
        <v>277</v>
      </c>
      <c r="Q20" s="113">
        <f>D11</f>
        <v>0</v>
      </c>
      <c r="R20" s="113" t="str">
        <f>E11</f>
        <v/>
      </c>
      <c r="S20" s="114">
        <f>F11</f>
        <v>0</v>
      </c>
      <c r="T20" s="9" t="s">
        <v>279</v>
      </c>
      <c r="U20" s="9"/>
      <c r="V20" s="113">
        <f>IF(OR(Q20="",Q22=""),"",IF(Q20&gt;Q22,2,IF(Q20=Q22,1,0)))</f>
        <v>1</v>
      </c>
      <c r="X20">
        <v>7</v>
      </c>
      <c r="Y20" t="str">
        <f>IF(Q19="","",X20)</f>
        <v/>
      </c>
      <c r="AC20" s="10" t="str">
        <f t="shared" si="9"/>
        <v/>
      </c>
      <c r="AD20">
        <f t="shared" si="9"/>
        <v>0</v>
      </c>
      <c r="AE20" t="str">
        <f t="shared" si="9"/>
        <v/>
      </c>
      <c r="AF20" s="101">
        <f t="shared" si="9"/>
        <v>0</v>
      </c>
      <c r="AG20" t="str">
        <f>IF(AC20="","",IF($AD20&gt;$AD19,1,0))</f>
        <v/>
      </c>
      <c r="AH20" t="str">
        <f>IF(AC20="","",IF(AD20=AD19,1,0))</f>
        <v/>
      </c>
      <c r="AI20" t="str">
        <f>IF(AC20="","",IF(AD20&lt;AD19,1,0))</f>
        <v/>
      </c>
      <c r="AQ20" s="1" t="str">
        <f>B20</f>
        <v>Format billard:</v>
      </c>
      <c r="AR20" s="1" t="str">
        <f t="shared" ref="AR20:AU21" si="10">C20</f>
        <v/>
      </c>
      <c r="AS20" s="1">
        <f t="shared" si="10"/>
        <v>0</v>
      </c>
      <c r="AT20" s="1" t="str">
        <f t="shared" si="10"/>
        <v/>
      </c>
      <c r="AU20" s="1">
        <f t="shared" si="10"/>
        <v>0</v>
      </c>
    </row>
    <row r="21" spans="1:47" ht="22.5" customHeight="1" thickBot="1" x14ac:dyDescent="0.3">
      <c r="A21" s="89"/>
      <c r="B21" s="204" t="s">
        <v>129</v>
      </c>
      <c r="C21" s="99" t="str">
        <f>IFERROR('Calc Feuille de résultats'!N7,"")</f>
        <v/>
      </c>
      <c r="D21" s="164"/>
      <c r="E21" s="235" t="str">
        <f>IF(D21="","",IF(D21&lt;D20,1,2))</f>
        <v/>
      </c>
      <c r="F21" s="164"/>
      <c r="G21" s="100" t="str">
        <f>IF(OR(D21="",D20=""),"",(D21/D20))</f>
        <v/>
      </c>
      <c r="H21" s="89"/>
      <c r="I21" s="89"/>
      <c r="N21" t="str">
        <f t="shared" si="5"/>
        <v/>
      </c>
      <c r="O21" s="98" t="s">
        <v>278</v>
      </c>
      <c r="P21" s="5" t="s">
        <v>276</v>
      </c>
      <c r="Q21" s="110" t="str">
        <f>IF(R21="","",VLOOKUP(R21,LISTE!$X$3:$Y$165,2,0))</f>
        <v/>
      </c>
      <c r="R21" s="5" t="str">
        <f>C12</f>
        <v/>
      </c>
      <c r="S21" s="5"/>
      <c r="T21" s="5"/>
      <c r="U21" s="5"/>
      <c r="V21" s="14"/>
      <c r="X21">
        <v>8</v>
      </c>
      <c r="Y21" t="str">
        <f t="shared" si="7"/>
        <v/>
      </c>
      <c r="AC21" s="10"/>
      <c r="AF21" s="101"/>
      <c r="AQ21" s="1" t="str">
        <f>B21</f>
        <v>2m80</v>
      </c>
      <c r="AR21" s="1" t="str">
        <f t="shared" si="10"/>
        <v/>
      </c>
      <c r="AS21" s="1">
        <f t="shared" si="10"/>
        <v>0</v>
      </c>
      <c r="AT21" s="1" t="str">
        <f t="shared" si="10"/>
        <v/>
      </c>
      <c r="AU21" s="1">
        <f t="shared" si="10"/>
        <v>0</v>
      </c>
    </row>
    <row r="22" spans="1:47" ht="3.75" customHeight="1" thickBot="1" x14ac:dyDescent="0.3">
      <c r="A22" s="89"/>
      <c r="B22" s="102"/>
      <c r="C22" s="102"/>
      <c r="D22" s="150">
        <f>COUNTA(D20:F21)-1</f>
        <v>1</v>
      </c>
      <c r="E22" s="102"/>
      <c r="F22" s="102"/>
      <c r="G22" s="103"/>
      <c r="H22" s="89"/>
      <c r="I22" s="89"/>
      <c r="N22" t="str">
        <f t="shared" si="5"/>
        <v/>
      </c>
      <c r="O22" s="11"/>
      <c r="P22" s="9" t="s">
        <v>277</v>
      </c>
      <c r="Q22" s="113">
        <f>D12</f>
        <v>0</v>
      </c>
      <c r="R22" s="114" t="str">
        <f>E12</f>
        <v/>
      </c>
      <c r="S22" s="113">
        <f>F12</f>
        <v>0</v>
      </c>
      <c r="T22" s="9" t="s">
        <v>279</v>
      </c>
      <c r="U22" s="9"/>
      <c r="V22" s="113">
        <f>IF(OR(Q22="",Q20=""),"",IF(Q22&gt;Q20,2,IF(Q22=Q20,1,0)))</f>
        <v>1</v>
      </c>
      <c r="X22">
        <v>9</v>
      </c>
      <c r="Y22" t="str">
        <f>IF(Q21="","",X22)</f>
        <v/>
      </c>
      <c r="AC22" s="10" t="str">
        <f t="shared" ref="AC22:AF23" si="11">C37</f>
        <v/>
      </c>
      <c r="AD22">
        <f t="shared" si="11"/>
        <v>0</v>
      </c>
      <c r="AE22" t="str">
        <f t="shared" si="11"/>
        <v/>
      </c>
      <c r="AF22" s="101">
        <f t="shared" si="11"/>
        <v>0</v>
      </c>
      <c r="AG22" t="str">
        <f>IF(AC22="","",IF($AD22&gt;$AD23,1,0))</f>
        <v/>
      </c>
      <c r="AH22" t="str">
        <f>IF(AC22="","",IF(AD22=AD23,1,0))</f>
        <v/>
      </c>
      <c r="AI22" t="str">
        <f>IF(AC22="","",IF(AD22&lt;AD23,1,0))</f>
        <v/>
      </c>
    </row>
    <row r="23" spans="1:47" ht="19.5" customHeight="1" thickBot="1" x14ac:dyDescent="0.3">
      <c r="A23" s="89"/>
      <c r="B23" s="91" t="str">
        <f>B19</f>
        <v>POULE 2</v>
      </c>
      <c r="C23" s="105" t="str">
        <f>'Calc Feuille de résultats'!N14</f>
        <v>Match 2</v>
      </c>
      <c r="D23" s="93">
        <v>1</v>
      </c>
      <c r="E23" s="93">
        <v>2</v>
      </c>
      <c r="F23" s="93">
        <v>3</v>
      </c>
      <c r="G23" s="106" t="s">
        <v>127</v>
      </c>
      <c r="H23" s="89"/>
      <c r="I23" s="89"/>
      <c r="N23" t="str">
        <f t="shared" si="5"/>
        <v/>
      </c>
      <c r="X23">
        <v>10</v>
      </c>
      <c r="Y23" t="str">
        <f t="shared" si="7"/>
        <v/>
      </c>
      <c r="AC23" s="11" t="str">
        <f t="shared" si="11"/>
        <v/>
      </c>
      <c r="AD23" s="9">
        <f t="shared" si="11"/>
        <v>0</v>
      </c>
      <c r="AE23" s="9" t="str">
        <f t="shared" si="11"/>
        <v/>
      </c>
      <c r="AF23" s="111">
        <f t="shared" si="11"/>
        <v>0</v>
      </c>
      <c r="AG23" t="str">
        <f>IF(AC23="","",IF($AD23&gt;$AD22,1,0))</f>
        <v/>
      </c>
      <c r="AH23" t="str">
        <f>IF(AC23="","",IF(AD23=AD22,1,0))</f>
        <v/>
      </c>
      <c r="AI23" t="str">
        <f>IF(AC23="","",IF(AD23&lt;AD22,1,0))</f>
        <v/>
      </c>
      <c r="AQ23" s="1" t="str">
        <f>B23</f>
        <v>POULE 2</v>
      </c>
      <c r="AR23" s="1" t="str">
        <f>C23</f>
        <v>Match 2</v>
      </c>
      <c r="AS23" s="1" t="s">
        <v>333</v>
      </c>
      <c r="AT23" s="1" t="s">
        <v>334</v>
      </c>
      <c r="AU23" s="1" t="s">
        <v>335</v>
      </c>
    </row>
    <row r="24" spans="1:47" ht="22.5" customHeight="1" thickBot="1" x14ac:dyDescent="0.3">
      <c r="A24" s="89"/>
      <c r="B24" s="95" t="s">
        <v>123</v>
      </c>
      <c r="C24" s="107" t="str">
        <f>IF(D22&lt;3,"",'Calc Feuille de résultats'!N15)</f>
        <v/>
      </c>
      <c r="D24" s="163"/>
      <c r="E24" s="234" t="str">
        <f>IF(D24="","",IF(D24&lt;D25,1,2))</f>
        <v/>
      </c>
      <c r="F24" s="163"/>
      <c r="G24" s="97" t="str">
        <f>IF(OR(D24="",D25=""),"",D24/D25)</f>
        <v/>
      </c>
      <c r="H24" s="89"/>
      <c r="I24" s="89"/>
      <c r="N24" t="str">
        <f t="shared" si="5"/>
        <v/>
      </c>
      <c r="O24" s="98" t="s">
        <v>275</v>
      </c>
      <c r="P24" s="5" t="s">
        <v>276</v>
      </c>
      <c r="Q24" s="110" t="str">
        <f>IF(R24="","",VLOOKUP(R24,LISTE!$X$3:$Y$165,2,0))</f>
        <v/>
      </c>
      <c r="R24" s="5" t="str">
        <f>C15</f>
        <v/>
      </c>
      <c r="S24" s="5"/>
      <c r="T24" s="5"/>
      <c r="U24" s="5"/>
      <c r="V24" s="14"/>
      <c r="X24">
        <v>11</v>
      </c>
      <c r="Y24" t="str">
        <f t="shared" si="7"/>
        <v/>
      </c>
      <c r="AQ24" s="1" t="str">
        <f>B24</f>
        <v>Format billard:</v>
      </c>
      <c r="AR24" s="1" t="str">
        <f t="shared" ref="AR24:AU25" si="12">C24</f>
        <v/>
      </c>
      <c r="AS24" s="1">
        <f t="shared" si="12"/>
        <v>0</v>
      </c>
      <c r="AT24" s="1" t="str">
        <f t="shared" si="12"/>
        <v/>
      </c>
      <c r="AU24" s="1">
        <f t="shared" si="12"/>
        <v>0</v>
      </c>
    </row>
    <row r="25" spans="1:47" ht="22.5" customHeight="1" thickBot="1" x14ac:dyDescent="0.3">
      <c r="B25" s="203" t="str">
        <f>B21</f>
        <v>2m80</v>
      </c>
      <c r="C25" s="108" t="str">
        <f>IF(D22&lt;3,"",'Calc Feuille de résultats'!N16)</f>
        <v/>
      </c>
      <c r="D25" s="164"/>
      <c r="E25" s="235" t="str">
        <f>IF(D25="","",IF(D25&lt;D24,1,2))</f>
        <v/>
      </c>
      <c r="F25" s="164"/>
      <c r="G25" s="100" t="str">
        <f>IF(OR(D25="",D24=""),"",(D25/D24))</f>
        <v/>
      </c>
      <c r="N25" t="str">
        <f t="shared" si="5"/>
        <v/>
      </c>
      <c r="O25" s="11"/>
      <c r="P25" s="9" t="s">
        <v>277</v>
      </c>
      <c r="Q25" s="113" t="str">
        <f>IF($R24="","",D15)</f>
        <v/>
      </c>
      <c r="R25" s="113" t="str">
        <f>IF($R24="","",E15)</f>
        <v/>
      </c>
      <c r="S25" s="113" t="str">
        <f>IF($R24="","",F15)</f>
        <v/>
      </c>
      <c r="T25" s="9" t="s">
        <v>279</v>
      </c>
      <c r="U25" s="9"/>
      <c r="V25" s="113" t="str">
        <f>IF(OR(Q25="",Q27=""),"",IF(Q25&gt;Q27,2,IF(Q25=Q27,1,0)))</f>
        <v/>
      </c>
      <c r="X25">
        <v>12</v>
      </c>
      <c r="Y25" t="str">
        <f>IF(Q24="","",X25)</f>
        <v/>
      </c>
      <c r="AC25" s="98" t="str">
        <f t="shared" ref="AC25:AF26" si="13">C15</f>
        <v/>
      </c>
      <c r="AD25" s="5">
        <f t="shared" si="13"/>
        <v>0</v>
      </c>
      <c r="AE25" s="5" t="str">
        <f t="shared" si="13"/>
        <v/>
      </c>
      <c r="AF25" s="6">
        <f t="shared" si="13"/>
        <v>0</v>
      </c>
      <c r="AG25" t="str">
        <f>IF(AC25="","",IF($AD25&gt;$AD26,1,0))</f>
        <v/>
      </c>
      <c r="AH25" t="str">
        <f>IF(AC25="","",IF(AD25=AD26,1,0))</f>
        <v/>
      </c>
      <c r="AI25" t="str">
        <f>IF(AC25="","",IF(AD25&lt;AD26,1,0))</f>
        <v/>
      </c>
      <c r="AQ25" s="1" t="str">
        <f>B25</f>
        <v>2m80</v>
      </c>
      <c r="AR25" s="1" t="str">
        <f t="shared" si="12"/>
        <v/>
      </c>
      <c r="AS25" s="1">
        <f t="shared" si="12"/>
        <v>0</v>
      </c>
      <c r="AT25" s="1" t="str">
        <f t="shared" si="12"/>
        <v/>
      </c>
      <c r="AU25" s="1">
        <f t="shared" si="12"/>
        <v>0</v>
      </c>
    </row>
    <row r="26" spans="1:47" ht="3.75" customHeight="1" thickBot="1" x14ac:dyDescent="0.3">
      <c r="B26" s="102"/>
      <c r="C26" s="102"/>
      <c r="D26" s="150">
        <f>COUNTA(D24:F25)+D22-1</f>
        <v>2</v>
      </c>
      <c r="E26" s="89"/>
      <c r="F26" s="102"/>
      <c r="G26" s="103"/>
      <c r="N26" t="str">
        <f t="shared" si="5"/>
        <v/>
      </c>
      <c r="O26" s="98" t="s">
        <v>278</v>
      </c>
      <c r="P26" s="5" t="s">
        <v>276</v>
      </c>
      <c r="Q26" s="110" t="str">
        <f>IF(R26="","",VLOOKUP(R26,LISTE!$X$3:$Y$165,2,0))</f>
        <v/>
      </c>
      <c r="R26" s="5" t="str">
        <f>C16</f>
        <v/>
      </c>
      <c r="S26" s="5"/>
      <c r="T26" s="5"/>
      <c r="U26" s="5"/>
      <c r="V26" s="14"/>
      <c r="X26">
        <v>13</v>
      </c>
      <c r="Y26" t="str">
        <f t="shared" si="7"/>
        <v/>
      </c>
      <c r="AC26" s="10" t="str">
        <f t="shared" si="13"/>
        <v/>
      </c>
      <c r="AD26">
        <f t="shared" si="13"/>
        <v>0</v>
      </c>
      <c r="AE26" t="str">
        <f t="shared" si="13"/>
        <v/>
      </c>
      <c r="AF26" s="101">
        <f t="shared" si="13"/>
        <v>0</v>
      </c>
      <c r="AG26" t="str">
        <f>IF(AC26="","",IF($AD26&gt;$AD25,1,0))</f>
        <v/>
      </c>
      <c r="AH26" t="str">
        <f>IF(AC26="","",IF(AD26=AD25,1,0))</f>
        <v/>
      </c>
      <c r="AI26" t="str">
        <f>IF(AC26="","",IF(AD26&lt;AD25,1,0))</f>
        <v/>
      </c>
    </row>
    <row r="27" spans="1:47" ht="19.5" customHeight="1" thickBot="1" x14ac:dyDescent="0.3">
      <c r="B27" s="91" t="str">
        <f>B19</f>
        <v>POULE 2</v>
      </c>
      <c r="C27" s="105" t="str">
        <f>'Calc Feuille de résultats'!N23</f>
        <v>Match 3</v>
      </c>
      <c r="D27" s="93">
        <v>1</v>
      </c>
      <c r="E27" s="93">
        <v>2</v>
      </c>
      <c r="F27" s="93">
        <v>3</v>
      </c>
      <c r="G27" s="106" t="s">
        <v>127</v>
      </c>
      <c r="N27" t="str">
        <f t="shared" si="5"/>
        <v/>
      </c>
      <c r="O27" s="11"/>
      <c r="P27" s="9" t="s">
        <v>277</v>
      </c>
      <c r="Q27" s="113" t="str">
        <f>IF($R26="","",D16)</f>
        <v/>
      </c>
      <c r="R27" s="113" t="str">
        <f>IF($R26="","",E16)</f>
        <v/>
      </c>
      <c r="S27" s="113" t="str">
        <f>IF($R26="","",F16)</f>
        <v/>
      </c>
      <c r="T27" s="9" t="s">
        <v>279</v>
      </c>
      <c r="U27" s="9"/>
      <c r="V27" s="113" t="str">
        <f>IF(OR(Q27="",Q25=""),"",IF(Q27&gt;Q25,2,IF(Q27=Q25,1,0)))</f>
        <v/>
      </c>
      <c r="X27">
        <v>14</v>
      </c>
      <c r="Y27" t="str">
        <f>IF(Q26="","",X27)</f>
        <v/>
      </c>
      <c r="AC27" s="10"/>
      <c r="AF27" s="101"/>
      <c r="AQ27" s="1" t="str">
        <f>B27</f>
        <v>POULE 2</v>
      </c>
      <c r="AR27" s="1" t="str">
        <f>C27</f>
        <v>Match 3</v>
      </c>
      <c r="AS27" s="1" t="s">
        <v>333</v>
      </c>
      <c r="AT27" s="1" t="s">
        <v>334</v>
      </c>
      <c r="AU27" s="1" t="s">
        <v>335</v>
      </c>
    </row>
    <row r="28" spans="1:47" ht="22.5" customHeight="1" thickBot="1" x14ac:dyDescent="0.3">
      <c r="B28" s="95" t="s">
        <v>123</v>
      </c>
      <c r="C28" s="107" t="str">
        <f>IF(D26&lt;6,"",'Calc Feuille de résultats'!N24)</f>
        <v/>
      </c>
      <c r="D28" s="163"/>
      <c r="E28" s="234" t="str">
        <f>IF(D28="","",IF(D28&lt;D29,1,2))</f>
        <v/>
      </c>
      <c r="F28" s="163"/>
      <c r="G28" s="97" t="str">
        <f>IF(OR(D28="",D29=""),"",D28/D29)</f>
        <v/>
      </c>
      <c r="N28" t="str">
        <f t="shared" si="5"/>
        <v/>
      </c>
      <c r="X28">
        <v>15</v>
      </c>
      <c r="Y28" t="str">
        <f t="shared" si="7"/>
        <v/>
      </c>
      <c r="AB28" t="s">
        <v>292</v>
      </c>
      <c r="AC28" s="10" t="str">
        <f t="shared" ref="AC28:AF29" si="14">C28</f>
        <v/>
      </c>
      <c r="AD28">
        <f t="shared" si="14"/>
        <v>0</v>
      </c>
      <c r="AE28" t="str">
        <f t="shared" si="14"/>
        <v/>
      </c>
      <c r="AF28" s="101">
        <f t="shared" si="14"/>
        <v>0</v>
      </c>
      <c r="AG28" t="str">
        <f>IF(AC28="","",IF($AD28&gt;$AD29,1,0))</f>
        <v/>
      </c>
      <c r="AH28" t="str">
        <f>IF(AC28="","",IF(AD28=AD29,1,0))</f>
        <v/>
      </c>
      <c r="AI28" t="str">
        <f>IF(AC28="","",IF(AD28&lt;AD29,1,0))</f>
        <v/>
      </c>
      <c r="AQ28" s="1" t="str">
        <f>B28</f>
        <v>Format billard:</v>
      </c>
      <c r="AR28" s="1" t="str">
        <f t="shared" ref="AR28:AU29" si="15">C28</f>
        <v/>
      </c>
      <c r="AS28" s="1">
        <f t="shared" si="15"/>
        <v>0</v>
      </c>
      <c r="AT28" s="1" t="str">
        <f t="shared" si="15"/>
        <v/>
      </c>
      <c r="AU28" s="1">
        <f t="shared" si="15"/>
        <v>0</v>
      </c>
    </row>
    <row r="29" spans="1:47" ht="22.5" customHeight="1" thickBot="1" x14ac:dyDescent="0.3">
      <c r="B29" s="203" t="str">
        <f>B21</f>
        <v>2m80</v>
      </c>
      <c r="C29" s="108" t="str">
        <f>IF(D26&lt;6,"",'Calc Feuille de résultats'!N25)</f>
        <v/>
      </c>
      <c r="D29" s="164"/>
      <c r="E29" s="235" t="str">
        <f>IF(D29="","",IF(D29&lt;D28,1,2))</f>
        <v/>
      </c>
      <c r="F29" s="164"/>
      <c r="G29" s="100" t="str">
        <f>IF(OR(D29="",D28=""),"",(D29/D28))</f>
        <v/>
      </c>
      <c r="N29" t="str">
        <f t="shared" si="5"/>
        <v/>
      </c>
      <c r="O29" s="98" t="s">
        <v>275</v>
      </c>
      <c r="P29" s="5" t="s">
        <v>276</v>
      </c>
      <c r="Q29" s="110" t="str">
        <f>IF(R29="","",VLOOKUP(R29,LISTE!$X$3:$Y$165,2,0))</f>
        <v/>
      </c>
      <c r="R29" s="5" t="str">
        <f>C20</f>
        <v/>
      </c>
      <c r="S29" s="5"/>
      <c r="T29" s="5"/>
      <c r="U29" s="5"/>
      <c r="V29" s="14"/>
      <c r="X29">
        <v>16</v>
      </c>
      <c r="Y29" t="str">
        <f t="shared" si="7"/>
        <v/>
      </c>
      <c r="AC29" s="10" t="str">
        <f t="shared" si="14"/>
        <v/>
      </c>
      <c r="AD29">
        <f t="shared" si="14"/>
        <v>0</v>
      </c>
      <c r="AE29" t="str">
        <f t="shared" si="14"/>
        <v/>
      </c>
      <c r="AF29" s="101">
        <f t="shared" si="14"/>
        <v>0</v>
      </c>
      <c r="AG29" t="str">
        <f>IF(AC29="","",IF($AD29&gt;$AD28,1,0))</f>
        <v/>
      </c>
      <c r="AH29" t="str">
        <f>IF(AC29="","",IF(AD29=AD28,1,0))</f>
        <v/>
      </c>
      <c r="AI29" t="str">
        <f>IF(AC29="","",IF(AD29&lt;AD28,1,0))</f>
        <v/>
      </c>
      <c r="AQ29" s="1" t="str">
        <f>B29</f>
        <v>2m80</v>
      </c>
      <c r="AR29" s="1" t="str">
        <f t="shared" si="15"/>
        <v/>
      </c>
      <c r="AS29" s="1">
        <f t="shared" si="15"/>
        <v>0</v>
      </c>
      <c r="AT29" s="1" t="str">
        <f t="shared" si="15"/>
        <v/>
      </c>
      <c r="AU29" s="1">
        <f t="shared" si="15"/>
        <v>0</v>
      </c>
    </row>
    <row r="30" spans="1:47" ht="15" customHeight="1" thickBot="1" x14ac:dyDescent="0.3">
      <c r="B30" s="1"/>
      <c r="G30" s="116"/>
      <c r="N30" t="str">
        <f t="shared" si="5"/>
        <v/>
      </c>
      <c r="O30" s="11"/>
      <c r="P30" s="9" t="s">
        <v>277</v>
      </c>
      <c r="Q30" s="112" t="str">
        <f>IF(D20="","",D20)</f>
        <v/>
      </c>
      <c r="R30" s="113" t="str">
        <f>E20</f>
        <v/>
      </c>
      <c r="S30" s="114">
        <f>F20</f>
        <v>0</v>
      </c>
      <c r="T30" s="9" t="s">
        <v>279</v>
      </c>
      <c r="U30" s="9"/>
      <c r="V30" s="113" t="str">
        <f>IF(OR(Q30="",Q32=""),"",IF(Q30&gt;Q32,2,IF(Q30=Q32,1,0)))</f>
        <v/>
      </c>
      <c r="X30">
        <v>17</v>
      </c>
      <c r="Y30" t="str">
        <f>IF(Q29="","",X30)</f>
        <v/>
      </c>
      <c r="AC30" s="10"/>
      <c r="AF30" s="101"/>
    </row>
    <row r="31" spans="1:47" ht="15" customHeight="1" thickBot="1" x14ac:dyDescent="0.3">
      <c r="B31" s="1"/>
      <c r="C31" s="168" t="str">
        <f>IF(C32="","",$C$5)</f>
        <v>5 Quilles N1</v>
      </c>
      <c r="D31" s="248"/>
      <c r="E31" s="248"/>
      <c r="F31" s="248"/>
      <c r="G31" s="116"/>
      <c r="N31" t="str">
        <f t="shared" si="5"/>
        <v/>
      </c>
      <c r="O31" s="98" t="s">
        <v>278</v>
      </c>
      <c r="P31" s="5" t="s">
        <v>276</v>
      </c>
      <c r="Q31" s="110" t="str">
        <f>IF(R31="","",VLOOKUP(R31,LISTE!$X$3:$Y$165,2,0))</f>
        <v/>
      </c>
      <c r="R31" s="5" t="str">
        <f>C21</f>
        <v/>
      </c>
      <c r="S31" s="5"/>
      <c r="T31" s="5"/>
      <c r="U31" s="5"/>
      <c r="V31" s="14"/>
      <c r="X31">
        <v>18</v>
      </c>
      <c r="Y31" t="str">
        <f t="shared" si="7"/>
        <v/>
      </c>
      <c r="AC31" s="10" t="str">
        <f t="shared" ref="AC31:AF32" si="16">C41</f>
        <v/>
      </c>
      <c r="AD31">
        <f t="shared" si="16"/>
        <v>0</v>
      </c>
      <c r="AE31" t="str">
        <f t="shared" si="16"/>
        <v/>
      </c>
      <c r="AF31" s="101">
        <f t="shared" si="16"/>
        <v>0</v>
      </c>
      <c r="AG31" t="str">
        <f>IF(AC31="","",IF($AD31&gt;$AD32,1,0))</f>
        <v/>
      </c>
      <c r="AH31" t="str">
        <f>IF(AC31="","",IF(AD31=AD32,1,0))</f>
        <v/>
      </c>
      <c r="AI31" t="str">
        <f>IF(AC31="","",IF(AD31&lt;AD32,1,0))</f>
        <v/>
      </c>
    </row>
    <row r="32" spans="1:47" ht="19.5" customHeight="1" thickBot="1" x14ac:dyDescent="0.3">
      <c r="B32" s="91" t="str">
        <f>'Calc Feuille de résultats'!Y6</f>
        <v>POULE 3</v>
      </c>
      <c r="C32" s="105" t="str">
        <f>'Calc Feuille de résultats'!Z5</f>
        <v>Match 1</v>
      </c>
      <c r="D32" s="93">
        <v>1</v>
      </c>
      <c r="E32" s="93">
        <v>2</v>
      </c>
      <c r="F32" s="93">
        <v>3</v>
      </c>
      <c r="G32" s="106" t="s">
        <v>127</v>
      </c>
      <c r="N32" t="str">
        <f t="shared" si="5"/>
        <v/>
      </c>
      <c r="O32" s="11"/>
      <c r="P32" s="9" t="s">
        <v>277</v>
      </c>
      <c r="Q32" s="113" t="str">
        <f>IF(D21="","",D21)</f>
        <v/>
      </c>
      <c r="R32" s="114" t="str">
        <f>E21</f>
        <v/>
      </c>
      <c r="S32" s="113">
        <f>F21</f>
        <v>0</v>
      </c>
      <c r="T32" s="9" t="s">
        <v>279</v>
      </c>
      <c r="U32" s="9"/>
      <c r="V32" s="113" t="str">
        <f>IF(OR(Q32="",Q30=""),"",IF(Q32&gt;Q30,2,IF(Q32=Q30,1,0)))</f>
        <v/>
      </c>
      <c r="X32">
        <v>19</v>
      </c>
      <c r="Y32" t="str">
        <f>IF(Q31="","",X32)</f>
        <v/>
      </c>
      <c r="AC32" s="11" t="str">
        <f t="shared" si="16"/>
        <v/>
      </c>
      <c r="AD32" s="9">
        <f t="shared" si="16"/>
        <v>0</v>
      </c>
      <c r="AE32" s="9" t="str">
        <f t="shared" si="16"/>
        <v/>
      </c>
      <c r="AF32" s="111">
        <f t="shared" si="16"/>
        <v>0</v>
      </c>
      <c r="AG32" t="str">
        <f>IF(AC32="","",IF($AD32&gt;$AD31,1,0))</f>
        <v/>
      </c>
      <c r="AH32" t="str">
        <f>IF(AC32="","",IF(AD32=AD31,1,0))</f>
        <v/>
      </c>
      <c r="AI32" t="str">
        <f>IF(AC32="","",IF(AD32&lt;AD31,1,0))</f>
        <v/>
      </c>
      <c r="AQ32" s="1" t="str">
        <f>B32</f>
        <v>POULE 3</v>
      </c>
      <c r="AR32" s="1" t="str">
        <f>C32</f>
        <v>Match 1</v>
      </c>
      <c r="AS32" s="1" t="s">
        <v>333</v>
      </c>
      <c r="AT32" s="1" t="s">
        <v>334</v>
      </c>
      <c r="AU32" s="1" t="s">
        <v>335</v>
      </c>
    </row>
    <row r="33" spans="2:47" ht="22.5" customHeight="1" thickBot="1" x14ac:dyDescent="0.3">
      <c r="B33" s="95" t="s">
        <v>123</v>
      </c>
      <c r="C33" s="96" t="str">
        <f>IFERROR('Calc Feuille de résultats'!Z6,"")</f>
        <v/>
      </c>
      <c r="D33" s="163"/>
      <c r="E33" s="234" t="str">
        <f>IF(D33="","",IF(D33&lt;D34,1,2))</f>
        <v/>
      </c>
      <c r="F33" s="163"/>
      <c r="G33" s="97" t="str">
        <f>IF(OR(D33="",D34=""),"",D33/D34)</f>
        <v/>
      </c>
      <c r="N33" t="str">
        <f t="shared" si="5"/>
        <v/>
      </c>
      <c r="X33">
        <v>20</v>
      </c>
      <c r="Y33" t="str">
        <f t="shared" si="7"/>
        <v/>
      </c>
      <c r="AJ33">
        <v>9</v>
      </c>
      <c r="AK33">
        <v>10</v>
      </c>
      <c r="AL33">
        <v>11</v>
      </c>
      <c r="AQ33" s="1" t="str">
        <f>B33</f>
        <v>Format billard:</v>
      </c>
      <c r="AR33" s="1" t="str">
        <f t="shared" ref="AR33:AU34" si="17">C33</f>
        <v/>
      </c>
      <c r="AS33" s="1">
        <f t="shared" si="17"/>
        <v>0</v>
      </c>
      <c r="AT33" s="1" t="str">
        <f t="shared" si="17"/>
        <v/>
      </c>
      <c r="AU33" s="1">
        <f t="shared" si="17"/>
        <v>0</v>
      </c>
    </row>
    <row r="34" spans="2:47" ht="22.5" customHeight="1" thickBot="1" x14ac:dyDescent="0.3">
      <c r="B34" s="204" t="s">
        <v>129</v>
      </c>
      <c r="C34" s="99" t="str">
        <f>IFERROR('Calc Feuille de résultats'!Z7,"")</f>
        <v/>
      </c>
      <c r="D34" s="164"/>
      <c r="E34" s="235" t="str">
        <f>IF(D34="","",IF(D34&lt;D33,1,2))</f>
        <v/>
      </c>
      <c r="F34" s="164"/>
      <c r="G34" s="100" t="str">
        <f>IF(OR(D34="",D33=""),"",(D34/D33))</f>
        <v/>
      </c>
      <c r="N34" t="str">
        <f t="shared" si="5"/>
        <v/>
      </c>
      <c r="O34" s="98" t="s">
        <v>275</v>
      </c>
      <c r="P34" s="5" t="s">
        <v>276</v>
      </c>
      <c r="Q34" s="110" t="str">
        <f>IF(R34="","",VLOOKUP(R34,LISTE!$X$3:$Y$165,2,0))</f>
        <v/>
      </c>
      <c r="R34" s="5" t="str">
        <f>C24</f>
        <v/>
      </c>
      <c r="S34" s="5"/>
      <c r="T34" s="5"/>
      <c r="U34" s="5"/>
      <c r="V34" s="14"/>
      <c r="X34">
        <v>21</v>
      </c>
      <c r="Y34" t="str">
        <f t="shared" si="7"/>
        <v/>
      </c>
      <c r="AB34" s="117" t="str">
        <f>'CLASSEMENT FINAL'!C7</f>
        <v/>
      </c>
      <c r="AC34" t="str">
        <f>IFERROR(VLOOKUP($AB34,$AC$7:$AI$14,AC$6,0),"")</f>
        <v/>
      </c>
      <c r="AD34">
        <f t="shared" ref="AD34:AI34" si="18">IFERROR(VLOOKUP($AB34,$AC$7:$AI$14,AD$6,0),"")</f>
        <v>0</v>
      </c>
      <c r="AE34" t="str">
        <f t="shared" si="18"/>
        <v/>
      </c>
      <c r="AF34">
        <f t="shared" si="18"/>
        <v>0</v>
      </c>
      <c r="AG34" t="str">
        <f t="shared" si="18"/>
        <v/>
      </c>
      <c r="AH34" t="str">
        <f t="shared" si="18"/>
        <v/>
      </c>
      <c r="AI34" t="str">
        <f t="shared" si="18"/>
        <v/>
      </c>
      <c r="AJ34" s="117">
        <f>SUM(AG34:AG36)</f>
        <v>0</v>
      </c>
      <c r="AK34" s="117">
        <f>SUM(AH34:AH36)</f>
        <v>0</v>
      </c>
      <c r="AL34" s="117">
        <f>SUM(AI34:AI36)</f>
        <v>0</v>
      </c>
      <c r="AQ34" s="1" t="str">
        <f>B34</f>
        <v>2m80</v>
      </c>
      <c r="AR34" s="1" t="str">
        <f t="shared" si="17"/>
        <v/>
      </c>
      <c r="AS34" s="1">
        <f t="shared" si="17"/>
        <v>0</v>
      </c>
      <c r="AT34" s="1" t="str">
        <f t="shared" si="17"/>
        <v/>
      </c>
      <c r="AU34" s="1">
        <f t="shared" si="17"/>
        <v>0</v>
      </c>
    </row>
    <row r="35" spans="2:47" ht="3.75" customHeight="1" thickBot="1" x14ac:dyDescent="0.3">
      <c r="B35" s="102"/>
      <c r="C35" s="102"/>
      <c r="D35" s="150">
        <f>COUNTA(D33:F34)-1</f>
        <v>1</v>
      </c>
      <c r="E35" s="102"/>
      <c r="F35" s="102"/>
      <c r="G35" s="103"/>
      <c r="N35" t="str">
        <f t="shared" si="5"/>
        <v/>
      </c>
      <c r="O35" s="11"/>
      <c r="P35" s="9" t="s">
        <v>277</v>
      </c>
      <c r="Q35" s="113" t="str">
        <f>IF(D24="","",D24)</f>
        <v/>
      </c>
      <c r="R35" s="113" t="str">
        <f>E24</f>
        <v/>
      </c>
      <c r="S35" s="114">
        <f>F24</f>
        <v>0</v>
      </c>
      <c r="T35" s="9" t="s">
        <v>279</v>
      </c>
      <c r="U35" s="9"/>
      <c r="V35" s="113" t="str">
        <f>IF(OR(Q35="",Q37=""),"",IF(Q35&gt;Q37,2,IF(Q35=Q37,1,0)))</f>
        <v/>
      </c>
      <c r="X35">
        <v>22</v>
      </c>
      <c r="Y35" t="str">
        <f>IF(Q34="","",X35)</f>
        <v/>
      </c>
      <c r="AC35" t="str">
        <f>IFERROR(VLOOKUP($AB34,$AC$16:$AI$23,AC$6,0),"")</f>
        <v/>
      </c>
      <c r="AD35">
        <f t="shared" ref="AD35:AI35" si="19">IFERROR(VLOOKUP($AB34,$AC$16:$AI$23,AD$6,0),"")</f>
        <v>0</v>
      </c>
      <c r="AE35" t="str">
        <f t="shared" si="19"/>
        <v/>
      </c>
      <c r="AF35">
        <f t="shared" si="19"/>
        <v>0</v>
      </c>
      <c r="AG35" t="str">
        <f t="shared" si="19"/>
        <v/>
      </c>
      <c r="AH35" t="str">
        <f t="shared" si="19"/>
        <v/>
      </c>
      <c r="AI35" t="str">
        <f t="shared" si="19"/>
        <v/>
      </c>
    </row>
    <row r="36" spans="2:47" ht="19.5" customHeight="1" thickBot="1" x14ac:dyDescent="0.3">
      <c r="B36" s="91" t="str">
        <f>B32</f>
        <v>POULE 3</v>
      </c>
      <c r="C36" s="105" t="str">
        <f>'Calc Feuille de résultats'!Z14</f>
        <v>Match 2</v>
      </c>
      <c r="D36" s="93">
        <v>1</v>
      </c>
      <c r="E36" s="93">
        <v>2</v>
      </c>
      <c r="F36" s="93">
        <v>3</v>
      </c>
      <c r="G36" s="106" t="s">
        <v>127</v>
      </c>
      <c r="N36" t="str">
        <f t="shared" si="5"/>
        <v/>
      </c>
      <c r="O36" s="98" t="s">
        <v>278</v>
      </c>
      <c r="P36" s="5" t="s">
        <v>276</v>
      </c>
      <c r="Q36" s="110" t="str">
        <f>IF(R36="","",VLOOKUP(R36,LISTE!$X$3:$Y$165,2,0))</f>
        <v/>
      </c>
      <c r="R36" s="5" t="str">
        <f>C25</f>
        <v/>
      </c>
      <c r="S36" s="5"/>
      <c r="T36" s="5"/>
      <c r="U36" s="5"/>
      <c r="V36" s="14"/>
      <c r="X36">
        <v>23</v>
      </c>
      <c r="Y36" t="str">
        <f t="shared" si="7"/>
        <v/>
      </c>
      <c r="AC36" t="str">
        <f>IFERROR(VLOOKUP($AB34,$AC$25:$AI$32,AC$6,0),"")</f>
        <v/>
      </c>
      <c r="AD36">
        <f t="shared" ref="AD36:AI36" si="20">IFERROR(VLOOKUP($AB34,$AC$25:$AI$32,AD$6,0),"")</f>
        <v>0</v>
      </c>
      <c r="AE36" t="str">
        <f t="shared" si="20"/>
        <v/>
      </c>
      <c r="AF36">
        <f t="shared" si="20"/>
        <v>0</v>
      </c>
      <c r="AG36" t="str">
        <f t="shared" si="20"/>
        <v/>
      </c>
      <c r="AH36" t="str">
        <f t="shared" si="20"/>
        <v/>
      </c>
      <c r="AI36" t="str">
        <f t="shared" si="20"/>
        <v/>
      </c>
      <c r="AQ36" s="1" t="str">
        <f>B36</f>
        <v>POULE 3</v>
      </c>
      <c r="AR36" s="1" t="str">
        <f>C36</f>
        <v>Match 2</v>
      </c>
      <c r="AS36" s="1" t="s">
        <v>333</v>
      </c>
      <c r="AT36" s="1" t="s">
        <v>334</v>
      </c>
      <c r="AU36" s="1" t="s">
        <v>335</v>
      </c>
    </row>
    <row r="37" spans="2:47" ht="22.5" customHeight="1" thickBot="1" x14ac:dyDescent="0.3">
      <c r="B37" s="95" t="s">
        <v>123</v>
      </c>
      <c r="C37" s="107" t="str">
        <f>IF(D35&lt;3,"",'Calc Feuille de résultats'!Z15)</f>
        <v/>
      </c>
      <c r="D37" s="163"/>
      <c r="E37" s="234" t="str">
        <f>IF(D37="","",IF(D37&lt;D38,1,2))</f>
        <v/>
      </c>
      <c r="F37" s="163"/>
      <c r="G37" s="97" t="str">
        <f>IF(OR(D37="",D38=""),"",D37/D38)</f>
        <v/>
      </c>
      <c r="N37" t="str">
        <f t="shared" si="5"/>
        <v/>
      </c>
      <c r="O37" s="11"/>
      <c r="P37" s="9" t="s">
        <v>277</v>
      </c>
      <c r="Q37" s="113" t="str">
        <f>IF(D25="","",D25)</f>
        <v/>
      </c>
      <c r="R37" s="114" t="str">
        <f>E25</f>
        <v/>
      </c>
      <c r="S37" s="113">
        <f>F25</f>
        <v>0</v>
      </c>
      <c r="T37" s="9" t="s">
        <v>279</v>
      </c>
      <c r="U37" s="9"/>
      <c r="V37" s="113" t="str">
        <f>IF(OR(Q37="",Q35=""),"",IF(Q37&gt;Q35,2,IF(Q37=Q35,1,0)))</f>
        <v/>
      </c>
      <c r="X37">
        <v>24</v>
      </c>
      <c r="Y37" t="str">
        <f>IF(Q36="","",X37)</f>
        <v/>
      </c>
      <c r="AB37" s="117" t="str">
        <f>'CLASSEMENT FINAL'!C8</f>
        <v/>
      </c>
      <c r="AC37" t="str">
        <f>IFERROR(VLOOKUP($AB37,$AC$7:$AI$14,AC$6,0),"")</f>
        <v/>
      </c>
      <c r="AD37">
        <f t="shared" ref="AD37:AI37" si="21">IFERROR(VLOOKUP($AB37,$AC$7:$AI$14,AD$6,0),"")</f>
        <v>0</v>
      </c>
      <c r="AE37" t="str">
        <f t="shared" si="21"/>
        <v/>
      </c>
      <c r="AF37">
        <f t="shared" si="21"/>
        <v>0</v>
      </c>
      <c r="AG37" t="str">
        <f t="shared" si="21"/>
        <v/>
      </c>
      <c r="AH37" t="str">
        <f t="shared" si="21"/>
        <v/>
      </c>
      <c r="AI37" t="str">
        <f t="shared" si="21"/>
        <v/>
      </c>
      <c r="AJ37" s="117">
        <f>SUM(AG37:AG39)</f>
        <v>0</v>
      </c>
      <c r="AK37" s="117">
        <f>SUM(AH37:AH39)</f>
        <v>0</v>
      </c>
      <c r="AL37" s="117">
        <f>SUM(AI37:AI39)</f>
        <v>0</v>
      </c>
      <c r="AQ37" s="1" t="str">
        <f>B37</f>
        <v>Format billard:</v>
      </c>
      <c r="AR37" s="1" t="str">
        <f t="shared" ref="AR37:AU38" si="22">C37</f>
        <v/>
      </c>
      <c r="AS37" s="1">
        <f t="shared" si="22"/>
        <v>0</v>
      </c>
      <c r="AT37" s="1" t="str">
        <f t="shared" si="22"/>
        <v/>
      </c>
      <c r="AU37" s="1">
        <f t="shared" si="22"/>
        <v>0</v>
      </c>
    </row>
    <row r="38" spans="2:47" ht="22.5" customHeight="1" thickBot="1" x14ac:dyDescent="0.3">
      <c r="B38" s="203" t="str">
        <f>B34</f>
        <v>2m80</v>
      </c>
      <c r="C38" s="108" t="str">
        <f>IF(D35&lt;3,"",'Calc Feuille de résultats'!Z16)</f>
        <v/>
      </c>
      <c r="D38" s="164"/>
      <c r="E38" s="235" t="str">
        <f>IF(D38="","",IF(D38&lt;D37,1,2))</f>
        <v/>
      </c>
      <c r="F38" s="164"/>
      <c r="G38" s="100" t="str">
        <f>IF(OR(D38="",D37=""),"",(D38/D37))</f>
        <v/>
      </c>
      <c r="N38" t="str">
        <f t="shared" si="5"/>
        <v/>
      </c>
      <c r="X38">
        <v>25</v>
      </c>
      <c r="Y38" t="str">
        <f t="shared" si="7"/>
        <v/>
      </c>
      <c r="AC38" t="str">
        <f t="shared" ref="AC38:AI38" si="23">IFERROR(VLOOKUP($AB37,$AC$16:$AI$23,AC$6,0),"")</f>
        <v/>
      </c>
      <c r="AD38">
        <f t="shared" si="23"/>
        <v>0</v>
      </c>
      <c r="AE38" t="str">
        <f t="shared" si="23"/>
        <v/>
      </c>
      <c r="AF38">
        <f t="shared" si="23"/>
        <v>0</v>
      </c>
      <c r="AG38" t="str">
        <f t="shared" si="23"/>
        <v/>
      </c>
      <c r="AH38" t="str">
        <f t="shared" si="23"/>
        <v/>
      </c>
      <c r="AI38" t="str">
        <f t="shared" si="23"/>
        <v/>
      </c>
      <c r="AQ38" s="1" t="str">
        <f>B38</f>
        <v>2m80</v>
      </c>
      <c r="AR38" s="1" t="str">
        <f t="shared" si="22"/>
        <v/>
      </c>
      <c r="AS38" s="1">
        <f t="shared" si="22"/>
        <v>0</v>
      </c>
      <c r="AT38" s="1" t="str">
        <f t="shared" si="22"/>
        <v/>
      </c>
      <c r="AU38" s="1">
        <f t="shared" si="22"/>
        <v>0</v>
      </c>
    </row>
    <row r="39" spans="2:47" ht="3.75" customHeight="1" thickBot="1" x14ac:dyDescent="0.3">
      <c r="B39" s="102"/>
      <c r="C39" s="102"/>
      <c r="D39" s="150">
        <f>COUNTA(D37:F38)+D35-1</f>
        <v>2</v>
      </c>
      <c r="E39" s="89"/>
      <c r="F39" s="102"/>
      <c r="G39" s="103"/>
      <c r="N39" t="str">
        <f t="shared" si="5"/>
        <v/>
      </c>
      <c r="O39" s="98" t="s">
        <v>275</v>
      </c>
      <c r="P39" s="5" t="s">
        <v>276</v>
      </c>
      <c r="Q39" s="110" t="str">
        <f>IF(R39="","",VLOOKUP(R39,LISTE!$X$3:$Y$165,2,0))</f>
        <v/>
      </c>
      <c r="R39" s="5" t="str">
        <f>C28</f>
        <v/>
      </c>
      <c r="S39" s="5"/>
      <c r="T39" s="5"/>
      <c r="U39" s="5"/>
      <c r="V39" s="14"/>
      <c r="X39">
        <v>26</v>
      </c>
      <c r="Y39" t="str">
        <f>IF(Q39="","",X39)</f>
        <v/>
      </c>
      <c r="AC39" t="str">
        <f>IFERROR(VLOOKUP($AB37,$AC$25:$AI$32,AC$6,0),"")</f>
        <v/>
      </c>
      <c r="AD39">
        <f t="shared" ref="AD39:AI39" si="24">IFERROR(VLOOKUP($AB37,$AC$25:$AI$32,AD$6,0),"")</f>
        <v>0</v>
      </c>
      <c r="AE39" t="str">
        <f t="shared" si="24"/>
        <v/>
      </c>
      <c r="AF39">
        <f t="shared" si="24"/>
        <v>0</v>
      </c>
      <c r="AG39" t="str">
        <f t="shared" si="24"/>
        <v/>
      </c>
      <c r="AH39" t="str">
        <f t="shared" si="24"/>
        <v/>
      </c>
      <c r="AI39" t="str">
        <f t="shared" si="24"/>
        <v/>
      </c>
    </row>
    <row r="40" spans="2:47" ht="19.5" customHeight="1" thickBot="1" x14ac:dyDescent="0.3">
      <c r="B40" s="91" t="str">
        <f>B32</f>
        <v>POULE 3</v>
      </c>
      <c r="C40" s="105" t="str">
        <f>'Calc Feuille de résultats'!Z23</f>
        <v>Match 3</v>
      </c>
      <c r="D40" s="93">
        <v>1</v>
      </c>
      <c r="E40" s="93">
        <v>2</v>
      </c>
      <c r="F40" s="93">
        <v>3</v>
      </c>
      <c r="G40" s="106" t="s">
        <v>127</v>
      </c>
      <c r="N40" t="str">
        <f t="shared" si="5"/>
        <v/>
      </c>
      <c r="O40" s="11"/>
      <c r="P40" s="9" t="s">
        <v>277</v>
      </c>
      <c r="Q40" s="113" t="str">
        <f>IF($R39="","",D28)</f>
        <v/>
      </c>
      <c r="R40" s="113" t="str">
        <f>IF($R39="","",E28)</f>
        <v/>
      </c>
      <c r="S40" s="113" t="str">
        <f>IF($R39="","",F28)</f>
        <v/>
      </c>
      <c r="T40" s="9" t="s">
        <v>279</v>
      </c>
      <c r="U40" s="9"/>
      <c r="V40" s="113" t="str">
        <f>IF(OR(Q40="",Q42=""),"",IF(Q40&gt;Q42,2,IF(Q40=Q42,1,0)))</f>
        <v/>
      </c>
      <c r="X40">
        <v>27</v>
      </c>
      <c r="Y40" t="str">
        <f>IF(Q39="","",X40)</f>
        <v/>
      </c>
      <c r="AB40" s="117" t="str">
        <f>'CLASSEMENT FINAL'!C9</f>
        <v/>
      </c>
      <c r="AC40" t="str">
        <f>IFERROR(VLOOKUP($AB40,$AC$7:$AI$14,AC$6,0),"")</f>
        <v/>
      </c>
      <c r="AD40">
        <f t="shared" ref="AD40:AI40" si="25">IFERROR(VLOOKUP($AB40,$AC$7:$AI$14,AD$6,0),"")</f>
        <v>0</v>
      </c>
      <c r="AE40" t="str">
        <f t="shared" si="25"/>
        <v/>
      </c>
      <c r="AF40">
        <f t="shared" si="25"/>
        <v>0</v>
      </c>
      <c r="AG40" t="str">
        <f t="shared" si="25"/>
        <v/>
      </c>
      <c r="AH40" t="str">
        <f t="shared" si="25"/>
        <v/>
      </c>
      <c r="AI40" t="str">
        <f t="shared" si="25"/>
        <v/>
      </c>
      <c r="AJ40" s="117">
        <f>SUM(AG40:AG42)</f>
        <v>0</v>
      </c>
      <c r="AK40" s="117">
        <f>SUM(AH40:AH42)</f>
        <v>0</v>
      </c>
      <c r="AL40" s="117">
        <f>SUM(AI40:AI42)</f>
        <v>0</v>
      </c>
      <c r="AQ40" s="1" t="str">
        <f>B40</f>
        <v>POULE 3</v>
      </c>
      <c r="AR40" s="1" t="str">
        <f>C40</f>
        <v>Match 3</v>
      </c>
      <c r="AS40" s="1" t="s">
        <v>333</v>
      </c>
      <c r="AT40" s="1" t="s">
        <v>334</v>
      </c>
      <c r="AU40" s="1" t="s">
        <v>335</v>
      </c>
    </row>
    <row r="41" spans="2:47" ht="22.5" customHeight="1" thickBot="1" x14ac:dyDescent="0.3">
      <c r="B41" s="95" t="s">
        <v>123</v>
      </c>
      <c r="C41" s="107" t="str">
        <f>IF(D39&lt;6,"",'Calc Feuille de résultats'!Z24)</f>
        <v/>
      </c>
      <c r="D41" s="163"/>
      <c r="E41" s="234" t="str">
        <f>IF(D41="","",IF(D41&lt;D42,1,2))</f>
        <v/>
      </c>
      <c r="F41" s="163"/>
      <c r="G41" s="97" t="str">
        <f>IF(OR(D41="",D42=""),"",D41/D42)</f>
        <v/>
      </c>
      <c r="N41" t="str">
        <f t="shared" si="5"/>
        <v/>
      </c>
      <c r="O41" s="98" t="s">
        <v>278</v>
      </c>
      <c r="P41" s="5" t="s">
        <v>276</v>
      </c>
      <c r="Q41" s="110" t="str">
        <f>IF(R41="","",VLOOKUP(R41,LISTE!$X$3:$Y$165,2,0))</f>
        <v/>
      </c>
      <c r="R41" s="5" t="str">
        <f>C29</f>
        <v/>
      </c>
      <c r="S41" s="5"/>
      <c r="T41" s="5"/>
      <c r="U41" s="5"/>
      <c r="V41" s="14"/>
      <c r="X41">
        <v>28</v>
      </c>
      <c r="Y41" t="str">
        <f t="shared" si="7"/>
        <v/>
      </c>
      <c r="AC41" t="str">
        <f t="shared" ref="AC41:AI41" si="26">IFERROR(VLOOKUP($AB40,$AC$16:$AI$23,AC$6,0),"")</f>
        <v/>
      </c>
      <c r="AD41">
        <f t="shared" si="26"/>
        <v>0</v>
      </c>
      <c r="AE41" t="str">
        <f t="shared" si="26"/>
        <v/>
      </c>
      <c r="AF41">
        <f t="shared" si="26"/>
        <v>0</v>
      </c>
      <c r="AG41" t="str">
        <f t="shared" si="26"/>
        <v/>
      </c>
      <c r="AH41" t="str">
        <f t="shared" si="26"/>
        <v/>
      </c>
      <c r="AI41" t="str">
        <f t="shared" si="26"/>
        <v/>
      </c>
      <c r="AQ41" s="1" t="str">
        <f>B41</f>
        <v>Format billard:</v>
      </c>
      <c r="AR41" s="1" t="str">
        <f t="shared" ref="AR41:AU42" si="27">C41</f>
        <v/>
      </c>
      <c r="AS41" s="1">
        <f t="shared" si="27"/>
        <v>0</v>
      </c>
      <c r="AT41" s="1" t="str">
        <f t="shared" si="27"/>
        <v/>
      </c>
      <c r="AU41" s="1">
        <f t="shared" si="27"/>
        <v>0</v>
      </c>
    </row>
    <row r="42" spans="2:47" ht="22.5" customHeight="1" thickBot="1" x14ac:dyDescent="0.3">
      <c r="B42" s="203" t="str">
        <f>B34</f>
        <v>2m80</v>
      </c>
      <c r="C42" s="108" t="str">
        <f>IF(D39&lt;6,"",'Calc Feuille de résultats'!Z25)</f>
        <v/>
      </c>
      <c r="D42" s="164"/>
      <c r="E42" s="235" t="str">
        <f>IF(D42="","",IF(D42&lt;D41,1,2))</f>
        <v/>
      </c>
      <c r="F42" s="164"/>
      <c r="G42" s="100" t="str">
        <f>IF(OR(D42="",D41=""),"",(D42/D41))</f>
        <v/>
      </c>
      <c r="N42" t="str">
        <f t="shared" si="5"/>
        <v/>
      </c>
      <c r="O42" s="11"/>
      <c r="P42" s="9" t="s">
        <v>277</v>
      </c>
      <c r="Q42" s="113" t="str">
        <f>IF($R41="","",D29)</f>
        <v/>
      </c>
      <c r="R42" s="113" t="str">
        <f>IF($R41="","",E29)</f>
        <v/>
      </c>
      <c r="S42" s="113" t="str">
        <f>IF($R41="","",F29)</f>
        <v/>
      </c>
      <c r="T42" s="9" t="s">
        <v>279</v>
      </c>
      <c r="U42" s="9"/>
      <c r="V42" s="113" t="str">
        <f>IF(OR(Q42="",Q40=""),"",IF(Q42&gt;Q40,2,IF(Q42=Q40,1,0)))</f>
        <v/>
      </c>
      <c r="X42">
        <v>29</v>
      </c>
      <c r="Y42" t="str">
        <f>IF(Q41="","",X42)</f>
        <v/>
      </c>
      <c r="AC42" t="str">
        <f>IFERROR(VLOOKUP($AB40,$AC$25:$AI$32,AC$6,0),"")</f>
        <v/>
      </c>
      <c r="AD42">
        <f t="shared" ref="AD42:AI42" si="28">IFERROR(VLOOKUP($AB40,$AC$25:$AI$32,AD$6,0),"")</f>
        <v>0</v>
      </c>
      <c r="AE42" t="str">
        <f t="shared" si="28"/>
        <v/>
      </c>
      <c r="AF42">
        <f t="shared" si="28"/>
        <v>0</v>
      </c>
      <c r="AG42" t="str">
        <f t="shared" si="28"/>
        <v/>
      </c>
      <c r="AH42" t="str">
        <f t="shared" si="28"/>
        <v/>
      </c>
      <c r="AI42" t="str">
        <f t="shared" si="28"/>
        <v/>
      </c>
      <c r="AQ42" s="1" t="str">
        <f>B42</f>
        <v>2m80</v>
      </c>
      <c r="AR42" s="1" t="str">
        <f t="shared" si="27"/>
        <v/>
      </c>
      <c r="AS42" s="1">
        <f t="shared" si="27"/>
        <v>0</v>
      </c>
      <c r="AT42" s="1" t="str">
        <f t="shared" si="27"/>
        <v/>
      </c>
      <c r="AU42" s="1">
        <f t="shared" si="27"/>
        <v>0</v>
      </c>
    </row>
    <row r="43" spans="2:47" ht="15" customHeight="1" thickBot="1" x14ac:dyDescent="0.3">
      <c r="N43" t="str">
        <f t="shared" si="5"/>
        <v/>
      </c>
      <c r="X43">
        <v>30</v>
      </c>
      <c r="Y43" t="str">
        <f t="shared" si="7"/>
        <v/>
      </c>
      <c r="AB43" s="117" t="str">
        <f>'CLASSEMENT FINAL'!C10</f>
        <v/>
      </c>
      <c r="AC43" t="str">
        <f>IFERROR(VLOOKUP($AB43,$AC$7:$AI$14,AC$6,0),"")</f>
        <v/>
      </c>
      <c r="AD43">
        <f t="shared" ref="AD43:AI43" si="29">IFERROR(VLOOKUP($AB43,$AC$7:$AI$14,AD$6,0),"")</f>
        <v>0</v>
      </c>
      <c r="AE43" t="str">
        <f t="shared" si="29"/>
        <v/>
      </c>
      <c r="AF43">
        <f t="shared" si="29"/>
        <v>0</v>
      </c>
      <c r="AG43" t="str">
        <f t="shared" si="29"/>
        <v/>
      </c>
      <c r="AH43" t="str">
        <f t="shared" si="29"/>
        <v/>
      </c>
      <c r="AI43" t="str">
        <f t="shared" si="29"/>
        <v/>
      </c>
      <c r="AJ43" s="117">
        <f>SUM(AG43:AG45)</f>
        <v>0</v>
      </c>
      <c r="AK43" s="117">
        <f>SUM(AH43:AH45)</f>
        <v>0</v>
      </c>
      <c r="AL43" s="117">
        <f>SUM(AI43:AI45)</f>
        <v>0</v>
      </c>
    </row>
    <row r="44" spans="2:47" ht="15" customHeight="1" thickBot="1" x14ac:dyDescent="0.3">
      <c r="N44" t="str">
        <f>IFERROR(RANK(Y44,$Y$14:$Y$57,1),"")</f>
        <v/>
      </c>
      <c r="O44" s="98" t="s">
        <v>275</v>
      </c>
      <c r="P44" s="5" t="s">
        <v>276</v>
      </c>
      <c r="Q44" s="110" t="str">
        <f>IF(R44="","",VLOOKUP(R44,LISTE!$X$3:$Y$165,2,0))</f>
        <v/>
      </c>
      <c r="R44" s="98" t="str">
        <f>C33</f>
        <v/>
      </c>
      <c r="S44" s="5"/>
      <c r="T44" s="5"/>
      <c r="U44" s="5"/>
      <c r="V44" s="14"/>
      <c r="X44">
        <v>31</v>
      </c>
      <c r="Y44" t="str">
        <f t="shared" si="7"/>
        <v/>
      </c>
      <c r="AC44" t="str">
        <f t="shared" ref="AC44:AI44" si="30">IFERROR(VLOOKUP($AB43,$AC$16:$AI$23,AC$6,0),"")</f>
        <v/>
      </c>
      <c r="AD44">
        <f t="shared" si="30"/>
        <v>0</v>
      </c>
      <c r="AE44" t="str">
        <f t="shared" si="30"/>
        <v/>
      </c>
      <c r="AF44">
        <f t="shared" si="30"/>
        <v>0</v>
      </c>
      <c r="AG44" t="str">
        <f t="shared" si="30"/>
        <v/>
      </c>
      <c r="AH44" t="str">
        <f t="shared" si="30"/>
        <v/>
      </c>
      <c r="AI44" t="str">
        <f t="shared" si="30"/>
        <v/>
      </c>
    </row>
    <row r="45" spans="2:47" ht="15" customHeight="1" thickBot="1" x14ac:dyDescent="0.3">
      <c r="C45" s="3"/>
      <c r="D45" s="3"/>
      <c r="E45" s="3"/>
      <c r="F45" s="3"/>
      <c r="G45" s="3"/>
      <c r="H45" s="118"/>
      <c r="N45" t="str">
        <f>IFERROR(RANK(Y45,$Y$14:$Y$57,1),"")</f>
        <v/>
      </c>
      <c r="O45" s="11"/>
      <c r="P45" s="9" t="s">
        <v>277</v>
      </c>
      <c r="Q45" s="112" t="str">
        <f>IF(D33="","",D33)</f>
        <v/>
      </c>
      <c r="R45" s="113" t="str">
        <f>IF(E33="","",E33)</f>
        <v/>
      </c>
      <c r="S45" s="114" t="str">
        <f>IF(F33="","",F33)</f>
        <v/>
      </c>
      <c r="T45" s="9" t="s">
        <v>279</v>
      </c>
      <c r="U45" s="9"/>
      <c r="V45" s="113" t="str">
        <f>IF(OR(Q45="",Q47=""),"",IF(Q45&gt;Q47,2,IF(Q45=Q47,1,0)))</f>
        <v/>
      </c>
      <c r="X45">
        <v>32</v>
      </c>
      <c r="Y45" t="str">
        <f>IF(Q44="","",X45)</f>
        <v/>
      </c>
      <c r="AC45" t="str">
        <f>IFERROR(VLOOKUP($AB43,$AC$25:$AI$32,AC$6,0),"")</f>
        <v/>
      </c>
      <c r="AD45">
        <f t="shared" ref="AD45:AI45" si="31">IFERROR(VLOOKUP($AB43,$AC$25:$AI$32,AD$6,0),"")</f>
        <v>0</v>
      </c>
      <c r="AE45" t="str">
        <f t="shared" si="31"/>
        <v/>
      </c>
      <c r="AF45">
        <f t="shared" si="31"/>
        <v>0</v>
      </c>
      <c r="AG45" t="str">
        <f t="shared" si="31"/>
        <v/>
      </c>
      <c r="AH45" t="str">
        <f t="shared" si="31"/>
        <v/>
      </c>
      <c r="AI45" t="str">
        <f t="shared" si="31"/>
        <v/>
      </c>
    </row>
    <row r="46" spans="2:47" ht="15" customHeight="1" thickBot="1" x14ac:dyDescent="0.3">
      <c r="C46" s="3"/>
      <c r="D46" s="3"/>
      <c r="E46" s="3"/>
      <c r="F46" s="3"/>
      <c r="G46" s="3"/>
      <c r="H46" s="118"/>
      <c r="N46" t="str">
        <f t="shared" si="5"/>
        <v/>
      </c>
      <c r="O46" s="98" t="s">
        <v>278</v>
      </c>
      <c r="P46" s="5" t="s">
        <v>276</v>
      </c>
      <c r="Q46" s="110" t="str">
        <f>IF(R46="","",VLOOKUP(R46,LISTE!$X$3:$Y$165,2,0))</f>
        <v/>
      </c>
      <c r="R46" s="98" t="str">
        <f>C34</f>
        <v/>
      </c>
      <c r="S46" s="5"/>
      <c r="T46" s="5"/>
      <c r="U46" s="5"/>
      <c r="V46" s="14"/>
      <c r="X46">
        <v>33</v>
      </c>
      <c r="Y46" t="str">
        <f t="shared" si="7"/>
        <v/>
      </c>
      <c r="AB46" s="117" t="str">
        <f>'CLASSEMENT FINAL'!C11</f>
        <v/>
      </c>
      <c r="AC46" t="str">
        <f>IFERROR(VLOOKUP($AB46,$AC$7:$AI$14,AC$6,0),"")</f>
        <v/>
      </c>
      <c r="AD46">
        <f t="shared" ref="AD46:AI46" si="32">IFERROR(VLOOKUP($AB46,$AC$7:$AI$14,AD$6,0),"")</f>
        <v>0</v>
      </c>
      <c r="AE46" t="str">
        <f t="shared" si="32"/>
        <v/>
      </c>
      <c r="AF46">
        <f t="shared" si="32"/>
        <v>0</v>
      </c>
      <c r="AG46" t="str">
        <f t="shared" si="32"/>
        <v/>
      </c>
      <c r="AH46" t="str">
        <f t="shared" si="32"/>
        <v/>
      </c>
      <c r="AI46" t="str">
        <f t="shared" si="32"/>
        <v/>
      </c>
      <c r="AJ46" s="117">
        <f>SUM(AG46:AG48)</f>
        <v>0</v>
      </c>
      <c r="AK46" s="117">
        <f>SUM(AH46:AH48)</f>
        <v>0</v>
      </c>
      <c r="AL46" s="117">
        <f>SUM(AI46:AI48)</f>
        <v>0</v>
      </c>
    </row>
    <row r="47" spans="2:47" ht="15" customHeight="1" thickBot="1" x14ac:dyDescent="0.3">
      <c r="C47" s="3"/>
      <c r="D47" s="3"/>
      <c r="E47" s="3"/>
      <c r="F47" s="3"/>
      <c r="G47" s="3"/>
      <c r="H47" s="118"/>
      <c r="N47" t="str">
        <f t="shared" si="5"/>
        <v/>
      </c>
      <c r="O47" s="11"/>
      <c r="P47" s="9" t="s">
        <v>277</v>
      </c>
      <c r="Q47" s="113" t="str">
        <f>IF(D34="","",D34)</f>
        <v/>
      </c>
      <c r="R47" s="114" t="str">
        <f>IF(E34="","",E34)</f>
        <v/>
      </c>
      <c r="S47" s="113" t="str">
        <f>IF(F34="","",F34)</f>
        <v/>
      </c>
      <c r="T47" s="9" t="s">
        <v>279</v>
      </c>
      <c r="U47" s="9"/>
      <c r="V47" s="113" t="str">
        <f>IF(OR(Q47="",Q45=""),"",IF(Q47&gt;Q45,2,IF(Q47=Q45,1,0)))</f>
        <v/>
      </c>
      <c r="X47">
        <v>34</v>
      </c>
      <c r="Y47" t="str">
        <f>IF(Q46="","",X47)</f>
        <v/>
      </c>
      <c r="AC47" t="str">
        <f t="shared" ref="AC47:AI47" si="33">IFERROR(VLOOKUP($AB46,$AC$16:$AI$23,AC$6,0),"")</f>
        <v/>
      </c>
      <c r="AD47">
        <f t="shared" si="33"/>
        <v>0</v>
      </c>
      <c r="AE47" t="str">
        <f t="shared" si="33"/>
        <v/>
      </c>
      <c r="AF47">
        <f t="shared" si="33"/>
        <v>0</v>
      </c>
      <c r="AG47" t="str">
        <f t="shared" si="33"/>
        <v/>
      </c>
      <c r="AH47" t="str">
        <f t="shared" si="33"/>
        <v/>
      </c>
      <c r="AI47" t="str">
        <f t="shared" si="33"/>
        <v/>
      </c>
    </row>
    <row r="48" spans="2:47" ht="15" customHeight="1" thickBot="1" x14ac:dyDescent="0.3">
      <c r="C48" s="3"/>
      <c r="D48" s="3"/>
      <c r="E48" s="3"/>
      <c r="F48" s="3"/>
      <c r="G48" s="3"/>
      <c r="H48" s="118"/>
      <c r="N48" t="str">
        <f t="shared" si="5"/>
        <v/>
      </c>
      <c r="X48">
        <v>35</v>
      </c>
      <c r="Y48" t="str">
        <f t="shared" si="7"/>
        <v/>
      </c>
      <c r="AC48" t="str">
        <f>IFERROR(VLOOKUP($AB46,$AC$25:$AI$32,AC$6,0),"")</f>
        <v/>
      </c>
      <c r="AD48">
        <f t="shared" ref="AD48:AI48" si="34">IFERROR(VLOOKUP($AB46,$AC$25:$AI$32,AD$6,0),"")</f>
        <v>0</v>
      </c>
      <c r="AE48" t="str">
        <f t="shared" si="34"/>
        <v/>
      </c>
      <c r="AF48">
        <f t="shared" si="34"/>
        <v>0</v>
      </c>
      <c r="AG48" t="str">
        <f t="shared" si="34"/>
        <v/>
      </c>
      <c r="AH48" t="str">
        <f t="shared" si="34"/>
        <v/>
      </c>
      <c r="AI48" t="str">
        <f t="shared" si="34"/>
        <v/>
      </c>
    </row>
    <row r="49" spans="3:38" ht="15" customHeight="1" thickBot="1" x14ac:dyDescent="0.3">
      <c r="C49" s="3"/>
      <c r="D49" s="3"/>
      <c r="E49" s="3"/>
      <c r="F49" s="3"/>
      <c r="G49" s="3"/>
      <c r="H49" s="118"/>
      <c r="N49" t="str">
        <f t="shared" si="5"/>
        <v/>
      </c>
      <c r="O49" s="98" t="s">
        <v>275</v>
      </c>
      <c r="P49" s="5" t="s">
        <v>276</v>
      </c>
      <c r="Q49" s="110" t="str">
        <f>IF(R49="","",VLOOKUP(R49,LISTE!$X$3:$Y$165,2,0))</f>
        <v/>
      </c>
      <c r="R49" s="5" t="str">
        <f>C37</f>
        <v/>
      </c>
      <c r="S49" s="5"/>
      <c r="T49" s="5"/>
      <c r="U49" s="5"/>
      <c r="V49" s="14"/>
      <c r="X49">
        <v>36</v>
      </c>
      <c r="Y49" t="str">
        <f t="shared" si="7"/>
        <v/>
      </c>
      <c r="AB49" s="117" t="str">
        <f>'CLASSEMENT FINAL'!C12</f>
        <v/>
      </c>
      <c r="AC49" t="str">
        <f>IFERROR(VLOOKUP($AB49,$AC$7:$AI$14,AC$6,0),"")</f>
        <v/>
      </c>
      <c r="AD49">
        <f t="shared" ref="AD49:AI49" si="35">IFERROR(VLOOKUP($AB49,$AC$7:$AI$14,AD$6,0),"")</f>
        <v>0</v>
      </c>
      <c r="AE49" t="str">
        <f t="shared" si="35"/>
        <v/>
      </c>
      <c r="AF49">
        <f t="shared" si="35"/>
        <v>0</v>
      </c>
      <c r="AG49" t="str">
        <f t="shared" si="35"/>
        <v/>
      </c>
      <c r="AH49" t="str">
        <f t="shared" si="35"/>
        <v/>
      </c>
      <c r="AI49" t="str">
        <f t="shared" si="35"/>
        <v/>
      </c>
      <c r="AJ49" s="117">
        <f>SUM(AG49:AG51)</f>
        <v>0</v>
      </c>
      <c r="AK49" s="117">
        <f>SUM(AH49:AH51)</f>
        <v>0</v>
      </c>
      <c r="AL49" s="117">
        <f>SUM(AI49:AI51)</f>
        <v>0</v>
      </c>
    </row>
    <row r="50" spans="3:38" ht="15" customHeight="1" thickBot="1" x14ac:dyDescent="0.3">
      <c r="C50" s="3"/>
      <c r="D50" s="3"/>
      <c r="E50" s="3"/>
      <c r="F50" s="3"/>
      <c r="G50" s="3"/>
      <c r="H50" s="118"/>
      <c r="N50" t="str">
        <f t="shared" si="5"/>
        <v/>
      </c>
      <c r="O50" s="11"/>
      <c r="P50" s="9" t="s">
        <v>277</v>
      </c>
      <c r="Q50" s="113" t="str">
        <f>IF(D37="","",D37)</f>
        <v/>
      </c>
      <c r="R50" s="113" t="str">
        <f>IF(E37="","",E37)</f>
        <v/>
      </c>
      <c r="S50" s="114" t="str">
        <f>IF(F37="","",F37)</f>
        <v/>
      </c>
      <c r="T50" s="9" t="s">
        <v>279</v>
      </c>
      <c r="U50" s="9"/>
      <c r="V50" s="113" t="str">
        <f>IF(OR(Q50="",Q52=""),"",IF(Q50&gt;Q52,2,IF(Q50=Q52,1,0)))</f>
        <v/>
      </c>
      <c r="X50">
        <v>37</v>
      </c>
      <c r="Y50" t="str">
        <f>IF(Q49="","",X50)</f>
        <v/>
      </c>
      <c r="AC50" t="str">
        <f t="shared" ref="AC50:AI50" si="36">IFERROR(VLOOKUP($AB49,$AC$16:$AI$23,AC$6,0),"")</f>
        <v/>
      </c>
      <c r="AD50">
        <f t="shared" si="36"/>
        <v>0</v>
      </c>
      <c r="AE50" t="str">
        <f t="shared" si="36"/>
        <v/>
      </c>
      <c r="AF50">
        <f t="shared" si="36"/>
        <v>0</v>
      </c>
      <c r="AG50" t="str">
        <f t="shared" si="36"/>
        <v/>
      </c>
      <c r="AH50" t="str">
        <f t="shared" si="36"/>
        <v/>
      </c>
      <c r="AI50" t="str">
        <f t="shared" si="36"/>
        <v/>
      </c>
    </row>
    <row r="51" spans="3:38" ht="15" customHeight="1" thickBot="1" x14ac:dyDescent="0.3">
      <c r="C51" s="3"/>
      <c r="D51" s="3"/>
      <c r="E51" s="3"/>
      <c r="F51" s="3"/>
      <c r="G51" s="3"/>
      <c r="H51" s="118"/>
      <c r="N51" t="str">
        <f t="shared" si="5"/>
        <v/>
      </c>
      <c r="O51" s="98" t="s">
        <v>278</v>
      </c>
      <c r="P51" s="5" t="s">
        <v>276</v>
      </c>
      <c r="Q51" s="110" t="str">
        <f>IF(R51="","",VLOOKUP(R51,LISTE!$X$3:$Y$165,2,0))</f>
        <v/>
      </c>
      <c r="R51" s="5" t="str">
        <f>C38</f>
        <v/>
      </c>
      <c r="S51" s="5"/>
      <c r="T51" s="5"/>
      <c r="U51" s="5"/>
      <c r="V51" s="14"/>
      <c r="X51">
        <v>38</v>
      </c>
      <c r="Y51" t="str">
        <f t="shared" si="7"/>
        <v/>
      </c>
      <c r="AC51" t="str">
        <f>IFERROR(VLOOKUP($AB49,$AC$25:$AI$32,AC$6,0),"")</f>
        <v/>
      </c>
      <c r="AD51">
        <f t="shared" ref="AD51:AI51" si="37">IFERROR(VLOOKUP($AB49,$AC$25:$AI$32,AD$6,0),"")</f>
        <v>0</v>
      </c>
      <c r="AE51" t="str">
        <f t="shared" si="37"/>
        <v/>
      </c>
      <c r="AF51">
        <f t="shared" si="37"/>
        <v>0</v>
      </c>
      <c r="AG51" t="str">
        <f t="shared" si="37"/>
        <v/>
      </c>
      <c r="AH51" t="str">
        <f t="shared" si="37"/>
        <v/>
      </c>
      <c r="AI51" t="str">
        <f t="shared" si="37"/>
        <v/>
      </c>
    </row>
    <row r="52" spans="3:38" ht="15" customHeight="1" thickBot="1" x14ac:dyDescent="0.3">
      <c r="C52" s="3"/>
      <c r="D52" s="3"/>
      <c r="E52" s="3"/>
      <c r="F52" s="3"/>
      <c r="G52" s="3"/>
      <c r="H52" s="118"/>
      <c r="N52" t="str">
        <f t="shared" si="5"/>
        <v/>
      </c>
      <c r="O52" s="11"/>
      <c r="P52" s="9" t="s">
        <v>277</v>
      </c>
      <c r="Q52" s="113" t="str">
        <f>IF(D38="","",D38)</f>
        <v/>
      </c>
      <c r="R52" s="114" t="str">
        <f>IF(E38="","",E38)</f>
        <v/>
      </c>
      <c r="S52" s="113" t="str">
        <f>IF(F38="","",F38)</f>
        <v/>
      </c>
      <c r="T52" s="9" t="s">
        <v>279</v>
      </c>
      <c r="U52" s="9"/>
      <c r="V52" s="113" t="str">
        <f>IF(OR(Q52="",Q50=""),"",IF(Q52&gt;Q50,2,IF(Q52=Q50,1,0)))</f>
        <v/>
      </c>
      <c r="X52">
        <v>39</v>
      </c>
      <c r="Y52" t="str">
        <f>IF(Q51="","",X52)</f>
        <v/>
      </c>
      <c r="AB52" s="117" t="str">
        <f>'CLASSEMENT FINAL'!C13</f>
        <v/>
      </c>
      <c r="AC52" t="str">
        <f>IFERROR(VLOOKUP($AB52,$AC$7:$AI$14,AC$6,0),"")</f>
        <v/>
      </c>
      <c r="AD52">
        <f t="shared" ref="AD52:AI52" si="38">IFERROR(VLOOKUP($AB52,$AC$7:$AI$14,AD$6,0),"")</f>
        <v>0</v>
      </c>
      <c r="AE52" t="str">
        <f t="shared" si="38"/>
        <v/>
      </c>
      <c r="AF52">
        <f t="shared" si="38"/>
        <v>0</v>
      </c>
      <c r="AG52" t="str">
        <f t="shared" si="38"/>
        <v/>
      </c>
      <c r="AH52" t="str">
        <f t="shared" si="38"/>
        <v/>
      </c>
      <c r="AI52" t="str">
        <f t="shared" si="38"/>
        <v/>
      </c>
      <c r="AJ52" s="117">
        <f>SUM(AG52:AG54)</f>
        <v>0</v>
      </c>
      <c r="AK52" s="117">
        <f>SUM(AH52:AH54)</f>
        <v>0</v>
      </c>
      <c r="AL52" s="117">
        <f>SUM(AI52:AI54)</f>
        <v>0</v>
      </c>
    </row>
    <row r="53" spans="3:38" ht="15" customHeight="1" thickBot="1" x14ac:dyDescent="0.3">
      <c r="C53" s="3"/>
      <c r="D53" s="3"/>
      <c r="E53" s="3"/>
      <c r="F53" s="3"/>
      <c r="G53" s="3"/>
      <c r="H53" s="118"/>
      <c r="N53" t="str">
        <f t="shared" si="5"/>
        <v/>
      </c>
      <c r="X53">
        <v>40</v>
      </c>
      <c r="Y53" t="str">
        <f t="shared" si="7"/>
        <v/>
      </c>
      <c r="AC53" t="str">
        <f t="shared" ref="AC53:AI53" si="39">IFERROR(VLOOKUP($AB52,$AC$16:$AI$23,AC$6,0),"")</f>
        <v/>
      </c>
      <c r="AD53">
        <f t="shared" si="39"/>
        <v>0</v>
      </c>
      <c r="AE53" t="str">
        <f t="shared" si="39"/>
        <v/>
      </c>
      <c r="AF53">
        <f t="shared" si="39"/>
        <v>0</v>
      </c>
      <c r="AG53" t="str">
        <f t="shared" si="39"/>
        <v/>
      </c>
      <c r="AH53" t="str">
        <f t="shared" si="39"/>
        <v/>
      </c>
      <c r="AI53" t="str">
        <f t="shared" si="39"/>
        <v/>
      </c>
    </row>
    <row r="54" spans="3:38" ht="15" customHeight="1" thickBot="1" x14ac:dyDescent="0.3">
      <c r="N54" t="str">
        <f t="shared" si="5"/>
        <v/>
      </c>
      <c r="O54" s="98" t="s">
        <v>275</v>
      </c>
      <c r="P54" s="5" t="s">
        <v>276</v>
      </c>
      <c r="Q54" s="110" t="str">
        <f>IF(R54="","",VLOOKUP(R54,LISTE!$X$3:$Y$165,2,0))</f>
        <v/>
      </c>
      <c r="R54" s="5" t="str">
        <f>C41</f>
        <v/>
      </c>
      <c r="S54" s="5"/>
      <c r="T54" s="5"/>
      <c r="U54" s="5"/>
      <c r="V54" s="14"/>
      <c r="X54">
        <v>41</v>
      </c>
      <c r="Y54" t="str">
        <f t="shared" si="7"/>
        <v/>
      </c>
      <c r="AC54" t="str">
        <f>IFERROR(VLOOKUP($AB52,$AC$25:$AI$32,AC$6,0),"")</f>
        <v/>
      </c>
      <c r="AD54">
        <f t="shared" ref="AD54:AI54" si="40">IFERROR(VLOOKUP($AB52,$AC$25:$AI$32,AD$6,0),"")</f>
        <v>0</v>
      </c>
      <c r="AE54" t="str">
        <f t="shared" si="40"/>
        <v/>
      </c>
      <c r="AF54">
        <f t="shared" si="40"/>
        <v>0</v>
      </c>
      <c r="AG54" t="str">
        <f t="shared" si="40"/>
        <v/>
      </c>
      <c r="AH54" t="str">
        <f t="shared" si="40"/>
        <v/>
      </c>
      <c r="AI54" t="str">
        <f t="shared" si="40"/>
        <v/>
      </c>
    </row>
    <row r="55" spans="3:38" ht="15" customHeight="1" thickBot="1" x14ac:dyDescent="0.3">
      <c r="N55" t="str">
        <f t="shared" si="5"/>
        <v/>
      </c>
      <c r="O55" s="11"/>
      <c r="P55" s="9" t="s">
        <v>277</v>
      </c>
      <c r="Q55" s="113" t="str">
        <f>IF($R54="","",D41)</f>
        <v/>
      </c>
      <c r="R55" s="113" t="str">
        <f>IF($R54="","",E41)</f>
        <v/>
      </c>
      <c r="S55" s="113" t="str">
        <f>IF($R54="","",F41)</f>
        <v/>
      </c>
      <c r="T55" s="9" t="s">
        <v>279</v>
      </c>
      <c r="U55" s="9"/>
      <c r="V55" s="113" t="str">
        <f>IF(OR(Q55="",Q57=""),"",IF(Q55&gt;Q57,2,IF(Q55=Q57,1,0)))</f>
        <v/>
      </c>
      <c r="X55">
        <v>42</v>
      </c>
      <c r="Y55" t="str">
        <f>IF(Q54="","",X55)</f>
        <v/>
      </c>
      <c r="AB55" s="117" t="str">
        <f>'CLASSEMENT FINAL'!C14</f>
        <v/>
      </c>
      <c r="AC55" t="str">
        <f>IFERROR(VLOOKUP($AB55,$AC$7:$AI$14,AC$6,0),"")</f>
        <v/>
      </c>
      <c r="AD55">
        <f t="shared" ref="AD55:AI55" si="41">IFERROR(VLOOKUP($AB55,$AC$7:$AI$14,AD$6,0),"")</f>
        <v>0</v>
      </c>
      <c r="AE55" t="str">
        <f t="shared" si="41"/>
        <v/>
      </c>
      <c r="AF55">
        <f t="shared" si="41"/>
        <v>0</v>
      </c>
      <c r="AG55" t="str">
        <f t="shared" si="41"/>
        <v/>
      </c>
      <c r="AH55" t="str">
        <f t="shared" si="41"/>
        <v/>
      </c>
      <c r="AI55" t="str">
        <f t="shared" si="41"/>
        <v/>
      </c>
      <c r="AJ55" s="117">
        <f>SUM(AG55:AG57)</f>
        <v>0</v>
      </c>
      <c r="AK55" s="117">
        <f>SUM(AH55:AH57)</f>
        <v>0</v>
      </c>
      <c r="AL55" s="117">
        <f>SUM(AI55:AI57)</f>
        <v>0</v>
      </c>
    </row>
    <row r="56" spans="3:38" ht="15" customHeight="1" thickBot="1" x14ac:dyDescent="0.3">
      <c r="N56" t="str">
        <f t="shared" si="5"/>
        <v/>
      </c>
      <c r="O56" s="98" t="s">
        <v>278</v>
      </c>
      <c r="P56" s="5" t="s">
        <v>276</v>
      </c>
      <c r="Q56" s="110" t="str">
        <f>IF(R56="","",VLOOKUP(R56,LISTE!$X$3:$Y$165,2,0))</f>
        <v/>
      </c>
      <c r="R56" s="5" t="str">
        <f>C42</f>
        <v/>
      </c>
      <c r="S56" s="5"/>
      <c r="T56" s="5"/>
      <c r="U56" s="5"/>
      <c r="V56" s="14"/>
      <c r="X56">
        <v>43</v>
      </c>
      <c r="Y56" t="str">
        <f t="shared" si="7"/>
        <v/>
      </c>
      <c r="AC56" t="str">
        <f t="shared" ref="AC56:AI56" si="42">IFERROR(VLOOKUP($AB55,$AC$16:$AI$23,AC$6,0),"")</f>
        <v/>
      </c>
      <c r="AD56">
        <f t="shared" si="42"/>
        <v>0</v>
      </c>
      <c r="AE56" t="str">
        <f t="shared" si="42"/>
        <v/>
      </c>
      <c r="AF56">
        <f t="shared" si="42"/>
        <v>0</v>
      </c>
      <c r="AG56" t="str">
        <f t="shared" si="42"/>
        <v/>
      </c>
      <c r="AH56" t="str">
        <f t="shared" si="42"/>
        <v/>
      </c>
      <c r="AI56" t="str">
        <f t="shared" si="42"/>
        <v/>
      </c>
    </row>
    <row r="57" spans="3:38" ht="15" customHeight="1" thickBot="1" x14ac:dyDescent="0.3">
      <c r="N57" t="str">
        <f t="shared" si="5"/>
        <v/>
      </c>
      <c r="O57" s="11"/>
      <c r="P57" s="9" t="s">
        <v>277</v>
      </c>
      <c r="Q57" s="113" t="str">
        <f>IF($R56="","",D42)</f>
        <v/>
      </c>
      <c r="R57" s="113" t="str">
        <f>IF($R56="","",E42)</f>
        <v/>
      </c>
      <c r="S57" s="113" t="str">
        <f>IF($R56="","",F42)</f>
        <v/>
      </c>
      <c r="T57" s="9" t="s">
        <v>279</v>
      </c>
      <c r="U57" s="9"/>
      <c r="V57" s="113" t="str">
        <f>IF(OR(Q57="",Q55=""),"",IF(Q57&gt;Q55,2,IF(Q57=Q55,1,0)))</f>
        <v/>
      </c>
      <c r="X57">
        <v>44</v>
      </c>
      <c r="Y57" t="str">
        <f>IF(Q56="","",X57)</f>
        <v/>
      </c>
      <c r="AC57" t="str">
        <f>IFERROR(VLOOKUP($AB55,$AC$25:$AI$32,AC$6,0),"")</f>
        <v/>
      </c>
      <c r="AD57">
        <f t="shared" ref="AD57:AI57" si="43">IFERROR(VLOOKUP($AB55,$AC$25:$AI$32,AD$6,0),"")</f>
        <v>0</v>
      </c>
      <c r="AE57" t="str">
        <f t="shared" si="43"/>
        <v/>
      </c>
      <c r="AF57">
        <f t="shared" si="43"/>
        <v>0</v>
      </c>
      <c r="AG57" t="str">
        <f t="shared" si="43"/>
        <v/>
      </c>
      <c r="AH57" t="str">
        <f t="shared" si="43"/>
        <v/>
      </c>
      <c r="AI57" t="str">
        <f t="shared" si="43"/>
        <v/>
      </c>
    </row>
    <row r="58" spans="3:38" ht="15" customHeight="1" x14ac:dyDescent="0.25">
      <c r="AB58" s="117" t="str">
        <f>'CLASSEMENT FINAL'!C15</f>
        <v/>
      </c>
      <c r="AC58" t="str">
        <f>IFERROR(VLOOKUP($AB58,$AC$7:$AI$14,AC$6,0),"")</f>
        <v/>
      </c>
      <c r="AD58">
        <f t="shared" ref="AD58:AI58" si="44">IFERROR(VLOOKUP($AB58,$AC$7:$AI$14,AD$6,0),"")</f>
        <v>0</v>
      </c>
      <c r="AE58" t="str">
        <f t="shared" si="44"/>
        <v/>
      </c>
      <c r="AF58">
        <f t="shared" si="44"/>
        <v>0</v>
      </c>
      <c r="AG58" t="str">
        <f t="shared" si="44"/>
        <v/>
      </c>
      <c r="AH58" t="str">
        <f t="shared" si="44"/>
        <v/>
      </c>
      <c r="AI58" t="str">
        <f t="shared" si="44"/>
        <v/>
      </c>
      <c r="AJ58" s="117">
        <f>SUM(AG58:AG60)</f>
        <v>0</v>
      </c>
      <c r="AK58" s="117">
        <f>SUM(AH58:AH60)</f>
        <v>0</v>
      </c>
      <c r="AL58" s="117">
        <f>SUM(AI58:AI60)</f>
        <v>0</v>
      </c>
    </row>
    <row r="59" spans="3:38" ht="15" customHeight="1" x14ac:dyDescent="0.25">
      <c r="N59">
        <f>COUNTA(N14:N57)</f>
        <v>44</v>
      </c>
      <c r="AC59" t="str">
        <f t="shared" ref="AC59:AI59" si="45">IFERROR(VLOOKUP($AB58,$AC$16:$AI$23,AC$6,0),"")</f>
        <v/>
      </c>
      <c r="AD59">
        <f t="shared" si="45"/>
        <v>0</v>
      </c>
      <c r="AE59" t="str">
        <f t="shared" si="45"/>
        <v/>
      </c>
      <c r="AF59">
        <f t="shared" si="45"/>
        <v>0</v>
      </c>
      <c r="AG59" t="str">
        <f t="shared" si="45"/>
        <v/>
      </c>
      <c r="AH59" t="str">
        <f t="shared" si="45"/>
        <v/>
      </c>
      <c r="AI59" t="str">
        <f t="shared" si="45"/>
        <v/>
      </c>
    </row>
    <row r="60" spans="3:38" ht="15" customHeight="1" x14ac:dyDescent="0.25">
      <c r="N60">
        <f>COUNTBLANK(N14:N57)</f>
        <v>44</v>
      </c>
      <c r="AC60" t="str">
        <f>IFERROR(VLOOKUP($AB58,$AC$25:$AI$32,AC$6,0),"")</f>
        <v/>
      </c>
      <c r="AD60">
        <f t="shared" ref="AD60:AI60" si="46">IFERROR(VLOOKUP($AB58,$AC$25:$AI$32,AD$6,0),"")</f>
        <v>0</v>
      </c>
      <c r="AE60" t="str">
        <f t="shared" si="46"/>
        <v/>
      </c>
      <c r="AF60">
        <f t="shared" si="46"/>
        <v>0</v>
      </c>
      <c r="AG60" t="str">
        <f t="shared" si="46"/>
        <v/>
      </c>
      <c r="AH60" t="str">
        <f t="shared" si="46"/>
        <v/>
      </c>
      <c r="AI60" t="str">
        <f t="shared" si="46"/>
        <v/>
      </c>
    </row>
    <row r="61" spans="3:38" ht="15" customHeight="1" x14ac:dyDescent="0.25">
      <c r="N61">
        <f>N59-N60</f>
        <v>0</v>
      </c>
    </row>
  </sheetData>
  <sheetProtection selectLockedCells="1"/>
  <mergeCells count="5">
    <mergeCell ref="R12:T12"/>
    <mergeCell ref="D5:F5"/>
    <mergeCell ref="D18:F18"/>
    <mergeCell ref="D31:F31"/>
    <mergeCell ref="B2:G3"/>
  </mergeCells>
  <conditionalFormatting sqref="D7:F8">
    <cfRule type="expression" dxfId="25" priority="47" stopIfTrue="1">
      <formula>#REF!&lt;&gt;""</formula>
    </cfRule>
  </conditionalFormatting>
  <conditionalFormatting sqref="D11:F12">
    <cfRule type="expression" dxfId="24" priority="15" stopIfTrue="1">
      <formula>#REF!&lt;&gt;""</formula>
    </cfRule>
  </conditionalFormatting>
  <conditionalFormatting sqref="D15:F16">
    <cfRule type="expression" dxfId="23" priority="13" stopIfTrue="1">
      <formula>#REF!&lt;&gt;""</formula>
    </cfRule>
  </conditionalFormatting>
  <conditionalFormatting sqref="D20:F21">
    <cfRule type="expression" dxfId="22" priority="11" stopIfTrue="1">
      <formula>#REF!&lt;&gt;""</formula>
    </cfRule>
  </conditionalFormatting>
  <conditionalFormatting sqref="D24:F25">
    <cfRule type="expression" dxfId="21" priority="9" stopIfTrue="1">
      <formula>#REF!&lt;&gt;""</formula>
    </cfRule>
  </conditionalFormatting>
  <conditionalFormatting sqref="D28:F29">
    <cfRule type="expression" dxfId="20" priority="7" stopIfTrue="1">
      <formula>#REF!&lt;&gt;""</formula>
    </cfRule>
  </conditionalFormatting>
  <conditionalFormatting sqref="D33:F34">
    <cfRule type="expression" dxfId="19" priority="5" stopIfTrue="1">
      <formula>#REF!&lt;&gt;""</formula>
    </cfRule>
  </conditionalFormatting>
  <conditionalFormatting sqref="D37:F38">
    <cfRule type="expression" dxfId="18" priority="3" stopIfTrue="1">
      <formula>#REF!&lt;&gt;""</formula>
    </cfRule>
  </conditionalFormatting>
  <conditionalFormatting sqref="D41:F42">
    <cfRule type="expression" dxfId="17" priority="1" stopIfTrue="1">
      <formula>#REF!&lt;&gt;""</formula>
    </cfRule>
  </conditionalFormatting>
  <conditionalFormatting sqref="O14:V27">
    <cfRule type="expression" dxfId="16" priority="90">
      <formula>$O$4=$P$4</formula>
    </cfRule>
  </conditionalFormatting>
  <conditionalFormatting sqref="O14:V42">
    <cfRule type="expression" dxfId="15" priority="91">
      <formula>$O$4&lt;&gt;$P$4</formula>
    </cfRule>
  </conditionalFormatting>
  <conditionalFormatting sqref="O29:V42">
    <cfRule type="expression" dxfId="14" priority="89">
      <formula>$O$4=$P$4</formula>
    </cfRule>
  </conditionalFormatting>
  <conditionalFormatting sqref="O44:V57">
    <cfRule type="expression" dxfId="13" priority="88">
      <formula>$Q$44&gt;10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rgb="FF00B050"/>
  </sheetPr>
  <dimension ref="A1:T17"/>
  <sheetViews>
    <sheetView showGridLines="0" zoomScaleNormal="100" workbookViewId="0">
      <selection activeCell="H3" sqref="H3"/>
    </sheetView>
  </sheetViews>
  <sheetFormatPr baseColWidth="10" defaultRowHeight="22.5" customHeight="1" x14ac:dyDescent="0.3"/>
  <cols>
    <col min="1" max="1" width="3.5703125" style="68" customWidth="1"/>
    <col min="2" max="2" width="5" style="68" customWidth="1"/>
    <col min="3" max="3" width="37" style="68" customWidth="1"/>
    <col min="4" max="6" width="10.7109375" style="68" customWidth="1"/>
    <col min="7" max="7" width="8.5703125" style="68" customWidth="1"/>
    <col min="8" max="8" width="23" style="68" customWidth="1"/>
    <col min="9" max="9" width="4.42578125" style="68" customWidth="1"/>
    <col min="10" max="10" width="4.42578125" style="68" hidden="1" customWidth="1"/>
    <col min="11" max="11" width="4.42578125" style="68" customWidth="1"/>
    <col min="12" max="12" width="7.42578125" style="68" hidden="1" customWidth="1"/>
    <col min="13" max="13" width="9.5703125" style="213" hidden="1" customWidth="1"/>
    <col min="14" max="14" width="3" style="213" hidden="1" customWidth="1"/>
    <col min="15" max="15" width="2.7109375" style="213" hidden="1" customWidth="1"/>
    <col min="16" max="16" width="9.5703125" style="213" hidden="1" customWidth="1"/>
    <col min="17" max="17" width="2.140625" style="213" hidden="1" customWidth="1"/>
    <col min="18" max="18" width="3" style="213" hidden="1" customWidth="1"/>
    <col min="19" max="19" width="2.7109375" style="213" hidden="1" customWidth="1"/>
    <col min="20" max="20" width="7.7109375" style="213" hidden="1" customWidth="1"/>
    <col min="21" max="21" width="0" style="68" hidden="1" customWidth="1"/>
    <col min="22" max="16384" width="11.42578125" style="68"/>
  </cols>
  <sheetData>
    <row r="1" spans="1:20" ht="13.5" customHeight="1" x14ac:dyDescent="0.3">
      <c r="A1" s="162" t="s">
        <v>297</v>
      </c>
    </row>
    <row r="2" spans="1:20" s="148" customFormat="1" ht="22.5" customHeight="1" x14ac:dyDescent="0.25">
      <c r="A2" s="165"/>
      <c r="B2" s="166"/>
      <c r="C2" s="166" t="s">
        <v>315</v>
      </c>
      <c r="D2" s="254" t="s">
        <v>353</v>
      </c>
      <c r="E2" s="254"/>
      <c r="G2" s="166" t="s">
        <v>316</v>
      </c>
      <c r="H2" s="226" t="str">
        <f>IF('INSCRIPTION DES JOUEURS'!D7="","",'INSCRIPTION DES JOUEURS'!D7)</f>
        <v/>
      </c>
      <c r="I2" s="166"/>
      <c r="J2" s="166"/>
      <c r="K2" s="166"/>
      <c r="L2" s="166"/>
    </row>
    <row r="3" spans="1:20" s="148" customFormat="1" ht="22.5" customHeight="1" x14ac:dyDescent="0.25">
      <c r="A3" s="162" t="s">
        <v>294</v>
      </c>
      <c r="B3" s="166"/>
      <c r="C3" s="166"/>
      <c r="D3" s="166"/>
      <c r="E3" s="166"/>
      <c r="G3" s="166" t="s">
        <v>317</v>
      </c>
      <c r="H3" s="227" t="str">
        <f>IF('INSCRIPTION DES JOUEURS'!D9="","",'INSCRIPTION DES JOUEURS'!D9)</f>
        <v/>
      </c>
      <c r="I3" s="166"/>
      <c r="J3" s="166"/>
      <c r="K3" s="166"/>
      <c r="L3" s="166"/>
    </row>
    <row r="4" spans="1:20" ht="22.5" customHeight="1" thickBot="1" x14ac:dyDescent="0.35"/>
    <row r="5" spans="1:20" ht="37.5" customHeight="1" thickBot="1" x14ac:dyDescent="0.35">
      <c r="M5" s="250" t="s">
        <v>347</v>
      </c>
      <c r="N5" s="251"/>
      <c r="O5" s="251"/>
      <c r="P5" s="252"/>
      <c r="Q5" s="250" t="s">
        <v>348</v>
      </c>
      <c r="R5" s="251"/>
      <c r="S5" s="251"/>
      <c r="T5" s="252"/>
    </row>
    <row r="6" spans="1:20" ht="44.25" customHeight="1" thickBot="1" x14ac:dyDescent="0.35">
      <c r="C6" s="81" t="s">
        <v>280</v>
      </c>
      <c r="D6" s="82" t="s">
        <v>281</v>
      </c>
      <c r="E6" s="83" t="s">
        <v>341</v>
      </c>
      <c r="F6" s="83" t="s">
        <v>342</v>
      </c>
      <c r="G6" s="83" t="s">
        <v>127</v>
      </c>
      <c r="H6" s="152" t="s">
        <v>295</v>
      </c>
      <c r="I6" s="83" t="s">
        <v>287</v>
      </c>
      <c r="J6" s="84" t="s">
        <v>288</v>
      </c>
      <c r="K6" s="85" t="s">
        <v>289</v>
      </c>
      <c r="M6" s="214" t="s">
        <v>345</v>
      </c>
      <c r="N6" s="215" t="s">
        <v>287</v>
      </c>
      <c r="O6" s="215" t="s">
        <v>289</v>
      </c>
      <c r="P6" s="216" t="s">
        <v>346</v>
      </c>
      <c r="Q6" s="214" t="s">
        <v>345</v>
      </c>
      <c r="R6" s="215" t="s">
        <v>287</v>
      </c>
      <c r="S6" s="215" t="s">
        <v>289</v>
      </c>
      <c r="T6" s="216" t="s">
        <v>346</v>
      </c>
    </row>
    <row r="7" spans="1:20" ht="30" customHeight="1" x14ac:dyDescent="0.3">
      <c r="B7" s="68" t="str">
        <f>'Calc Feuille de résultats'!AJ31</f>
        <v/>
      </c>
      <c r="C7" s="153" t="str">
        <f>'Calc Feuille de résultats'!AK31</f>
        <v/>
      </c>
      <c r="D7" s="154" t="str">
        <f>IF(I7=2,4,IF(I7=1,3,IF(I7=0,2,"")))</f>
        <v/>
      </c>
      <c r="E7" s="154" t="str">
        <f>'Calc Feuille de résultats'!AM31</f>
        <v/>
      </c>
      <c r="F7" s="154" t="str">
        <f>'Calc Feuille de résultats'!AN31</f>
        <v/>
      </c>
      <c r="G7" s="209" t="str">
        <f>'Calc Feuille de résultats'!AL31</f>
        <v/>
      </c>
      <c r="H7" s="155"/>
      <c r="I7" s="156" t="str">
        <f>IF($C7="","",VLOOKUP($C7,'FEUILLE DE RESULTATS'!$AB$34:$AL$58,'FEUILLE DE RESULTATS'!AJ$33,0))</f>
        <v/>
      </c>
      <c r="J7" s="156" t="str">
        <f>IF($C7="","",VLOOKUP($C7,'FEUILLE DE RESULTATS'!$AB$34:$AL$58,'FEUILLE DE RESULTATS'!AK$33,0))</f>
        <v/>
      </c>
      <c r="K7" s="231" t="str">
        <f>IF($C7="","",VLOOKUP($C7,'FEUILLE DE RESULTATS'!$AB$34:$AL$58,'FEUILLE DE RESULTATS'!AL$33,0))</f>
        <v/>
      </c>
      <c r="L7" s="228" t="str">
        <f>IF(B7="","",'Calc Feuille de résultats'!AQ31)</f>
        <v/>
      </c>
      <c r="M7" s="217" t="e">
        <f>I7+K7</f>
        <v>#VALUE!</v>
      </c>
      <c r="N7" s="217">
        <f>'Calc Feuille de résultats'!AR31</f>
        <v>0</v>
      </c>
      <c r="O7" s="217">
        <f>'Calc Feuille de résultats'!AS31</f>
        <v>2</v>
      </c>
      <c r="P7" s="219" t="e">
        <f>N7/M7</f>
        <v>#VALUE!</v>
      </c>
      <c r="Q7" s="217" t="e">
        <f>R7+S7</f>
        <v>#N/A</v>
      </c>
      <c r="R7" s="217" t="e">
        <f>'Calc Feuille de résultats'!AT31</f>
        <v>#N/A</v>
      </c>
      <c r="S7" s="217" t="e">
        <f>'Calc Feuille de résultats'!AU31</f>
        <v>#N/A</v>
      </c>
      <c r="T7" s="218" t="e">
        <f>R7/Q7</f>
        <v>#N/A</v>
      </c>
    </row>
    <row r="8" spans="1:20" ht="30" customHeight="1" x14ac:dyDescent="0.3">
      <c r="B8" s="68" t="str">
        <f>'Calc Feuille de résultats'!AJ32</f>
        <v/>
      </c>
      <c r="C8" s="157" t="str">
        <f>'Calc Feuille de résultats'!AK32</f>
        <v/>
      </c>
      <c r="D8" s="86" t="str">
        <f t="shared" ref="D8:D15" si="0">IF(I8=2,4,IF(I8=1,3,IF(I8=0,2,"")))</f>
        <v/>
      </c>
      <c r="E8" s="86" t="str">
        <f>'Calc Feuille de résultats'!AM32</f>
        <v/>
      </c>
      <c r="F8" s="86" t="str">
        <f>'Calc Feuille de résultats'!AN32</f>
        <v/>
      </c>
      <c r="G8" s="210" t="str">
        <f>'Calc Feuille de résultats'!AL32</f>
        <v/>
      </c>
      <c r="H8" s="119"/>
      <c r="I8" s="87" t="str">
        <f>IF($C8="","",VLOOKUP($C8,'FEUILLE DE RESULTATS'!$AB$34:$AL$58,'FEUILLE DE RESULTATS'!AJ$33,0))</f>
        <v/>
      </c>
      <c r="J8" s="87" t="str">
        <f>IF($C8="","",VLOOKUP($C8,'FEUILLE DE RESULTATS'!$AB$34:$AL$58,'FEUILLE DE RESULTATS'!AK$33,0))</f>
        <v/>
      </c>
      <c r="K8" s="232" t="str">
        <f>IF($C8="","",VLOOKUP($C8,'FEUILLE DE RESULTATS'!$AB$34:$AL$58,'FEUILLE DE RESULTATS'!AL$33,0))</f>
        <v/>
      </c>
      <c r="L8" s="229" t="str">
        <f>IF(B8="","",'Calc Feuille de résultats'!AQ32)</f>
        <v/>
      </c>
      <c r="M8" s="217" t="e">
        <f t="shared" ref="M8:M15" si="1">I8+K8</f>
        <v>#VALUE!</v>
      </c>
      <c r="N8" s="217">
        <f>'Calc Feuille de résultats'!AR32</f>
        <v>0</v>
      </c>
      <c r="O8" s="217">
        <f>'Calc Feuille de résultats'!AS32</f>
        <v>2</v>
      </c>
      <c r="P8" s="219" t="e">
        <f t="shared" ref="P8:P15" si="2">N8/M8</f>
        <v>#VALUE!</v>
      </c>
      <c r="Q8" s="217" t="e">
        <f t="shared" ref="Q8:Q15" si="3">R8+S8</f>
        <v>#N/A</v>
      </c>
      <c r="R8" s="217" t="e">
        <f>'Calc Feuille de résultats'!AT32</f>
        <v>#N/A</v>
      </c>
      <c r="S8" s="217" t="e">
        <f>'Calc Feuille de résultats'!AU32</f>
        <v>#N/A</v>
      </c>
      <c r="T8" s="218" t="e">
        <f t="shared" ref="T8:T15" si="4">R8/Q8</f>
        <v>#N/A</v>
      </c>
    </row>
    <row r="9" spans="1:20" ht="30" customHeight="1" x14ac:dyDescent="0.3">
      <c r="B9" s="68" t="str">
        <f>'Calc Feuille de résultats'!AJ33</f>
        <v/>
      </c>
      <c r="C9" s="157" t="str">
        <f>'Calc Feuille de résultats'!AK33</f>
        <v/>
      </c>
      <c r="D9" s="86" t="str">
        <f t="shared" si="0"/>
        <v/>
      </c>
      <c r="E9" s="86" t="str">
        <f>'Calc Feuille de résultats'!AM33</f>
        <v/>
      </c>
      <c r="F9" s="86" t="str">
        <f>'Calc Feuille de résultats'!AN33</f>
        <v/>
      </c>
      <c r="G9" s="210" t="str">
        <f>'Calc Feuille de résultats'!AL33</f>
        <v/>
      </c>
      <c r="H9" s="119"/>
      <c r="I9" s="87" t="str">
        <f>IF($C9="","",VLOOKUP($C9,'FEUILLE DE RESULTATS'!$AB$34:$AL$58,'FEUILLE DE RESULTATS'!AJ$33,0))</f>
        <v/>
      </c>
      <c r="J9" s="87" t="str">
        <f>IF($C9="","",VLOOKUP($C9,'FEUILLE DE RESULTATS'!$AB$34:$AL$58,'FEUILLE DE RESULTATS'!AK$33,0))</f>
        <v/>
      </c>
      <c r="K9" s="232" t="str">
        <f>IF($C9="","",VLOOKUP($C9,'FEUILLE DE RESULTATS'!$AB$34:$AL$58,'FEUILLE DE RESULTATS'!AL$33,0))</f>
        <v/>
      </c>
      <c r="L9" s="229" t="str">
        <f>IF(B9="","",'Calc Feuille de résultats'!AQ33)</f>
        <v/>
      </c>
      <c r="M9" s="217" t="e">
        <f t="shared" si="1"/>
        <v>#VALUE!</v>
      </c>
      <c r="N9" s="217">
        <f>'Calc Feuille de résultats'!AR33</f>
        <v>0</v>
      </c>
      <c r="O9" s="217">
        <f>'Calc Feuille de résultats'!AS33</f>
        <v>2</v>
      </c>
      <c r="P9" s="219" t="e">
        <f t="shared" si="2"/>
        <v>#VALUE!</v>
      </c>
      <c r="Q9" s="217" t="e">
        <f t="shared" si="3"/>
        <v>#N/A</v>
      </c>
      <c r="R9" s="217" t="e">
        <f>'Calc Feuille de résultats'!AT33</f>
        <v>#N/A</v>
      </c>
      <c r="S9" s="217" t="e">
        <f>'Calc Feuille de résultats'!AU33</f>
        <v>#N/A</v>
      </c>
      <c r="T9" s="218" t="e">
        <f t="shared" si="4"/>
        <v>#N/A</v>
      </c>
    </row>
    <row r="10" spans="1:20" ht="30" customHeight="1" x14ac:dyDescent="0.3">
      <c r="B10" s="68" t="str">
        <f>'Calc Feuille de résultats'!AJ34</f>
        <v/>
      </c>
      <c r="C10" s="157" t="str">
        <f>'Calc Feuille de résultats'!AK34</f>
        <v/>
      </c>
      <c r="D10" s="86" t="str">
        <f t="shared" si="0"/>
        <v/>
      </c>
      <c r="E10" s="86" t="str">
        <f>'Calc Feuille de résultats'!AM34</f>
        <v/>
      </c>
      <c r="F10" s="86" t="str">
        <f>'Calc Feuille de résultats'!AN34</f>
        <v/>
      </c>
      <c r="G10" s="210" t="str">
        <f>'Calc Feuille de résultats'!AL34</f>
        <v/>
      </c>
      <c r="H10" s="119"/>
      <c r="I10" s="87" t="str">
        <f>IF($C10="","",VLOOKUP($C10,'FEUILLE DE RESULTATS'!$AB$34:$AL$58,'FEUILLE DE RESULTATS'!AJ$33,0))</f>
        <v/>
      </c>
      <c r="J10" s="87" t="str">
        <f>IF($C10="","",VLOOKUP($C10,'FEUILLE DE RESULTATS'!$AB$34:$AL$58,'FEUILLE DE RESULTATS'!AK$33,0))</f>
        <v/>
      </c>
      <c r="K10" s="232" t="str">
        <f>IF($C10="","",VLOOKUP($C10,'FEUILLE DE RESULTATS'!$AB$34:$AL$58,'FEUILLE DE RESULTATS'!AL$33,0))</f>
        <v/>
      </c>
      <c r="L10" s="229" t="str">
        <f>IF(B10="","",'Calc Feuille de résultats'!AQ34)</f>
        <v/>
      </c>
      <c r="M10" s="217" t="e">
        <f t="shared" si="1"/>
        <v>#VALUE!</v>
      </c>
      <c r="N10" s="217">
        <f>'Calc Feuille de résultats'!AR34</f>
        <v>0</v>
      </c>
      <c r="O10" s="217">
        <f>'Calc Feuille de résultats'!AS34</f>
        <v>2</v>
      </c>
      <c r="P10" s="219" t="e">
        <f t="shared" si="2"/>
        <v>#VALUE!</v>
      </c>
      <c r="Q10" s="217" t="e">
        <f t="shared" si="3"/>
        <v>#N/A</v>
      </c>
      <c r="R10" s="217" t="e">
        <f>'Calc Feuille de résultats'!AT34</f>
        <v>#N/A</v>
      </c>
      <c r="S10" s="217" t="e">
        <f>'Calc Feuille de résultats'!AU34</f>
        <v>#N/A</v>
      </c>
      <c r="T10" s="218" t="e">
        <f t="shared" si="4"/>
        <v>#N/A</v>
      </c>
    </row>
    <row r="11" spans="1:20" ht="30" customHeight="1" x14ac:dyDescent="0.3">
      <c r="B11" s="68" t="str">
        <f>'Calc Feuille de résultats'!AJ35</f>
        <v/>
      </c>
      <c r="C11" s="157" t="str">
        <f>'Calc Feuille de résultats'!AK35</f>
        <v/>
      </c>
      <c r="D11" s="86" t="str">
        <f t="shared" si="0"/>
        <v/>
      </c>
      <c r="E11" s="86" t="str">
        <f>'Calc Feuille de résultats'!AM35</f>
        <v/>
      </c>
      <c r="F11" s="86" t="str">
        <f>'Calc Feuille de résultats'!AN35</f>
        <v/>
      </c>
      <c r="G11" s="210" t="str">
        <f>'Calc Feuille de résultats'!AL35</f>
        <v/>
      </c>
      <c r="H11" s="119"/>
      <c r="I11" s="87" t="str">
        <f>IF($C11="","",VLOOKUP($C11,'FEUILLE DE RESULTATS'!$AB$34:$AL$58,'FEUILLE DE RESULTATS'!AJ$33,0))</f>
        <v/>
      </c>
      <c r="J11" s="87" t="str">
        <f>IF($C11="","",VLOOKUP($C11,'FEUILLE DE RESULTATS'!$AB$34:$AL$58,'FEUILLE DE RESULTATS'!AK$33,0))</f>
        <v/>
      </c>
      <c r="K11" s="232" t="str">
        <f>IF($C11="","",VLOOKUP($C11,'FEUILLE DE RESULTATS'!$AB$34:$AL$58,'FEUILLE DE RESULTATS'!AL$33,0))</f>
        <v/>
      </c>
      <c r="L11" s="229" t="str">
        <f>IF(B11="","",'Calc Feuille de résultats'!AQ35)</f>
        <v/>
      </c>
      <c r="M11" s="217" t="e">
        <f t="shared" si="1"/>
        <v>#VALUE!</v>
      </c>
      <c r="N11" s="217">
        <f>'Calc Feuille de résultats'!AR35</f>
        <v>0</v>
      </c>
      <c r="O11" s="217">
        <f>'Calc Feuille de résultats'!AS35</f>
        <v>2</v>
      </c>
      <c r="P11" s="219" t="e">
        <f t="shared" si="2"/>
        <v>#VALUE!</v>
      </c>
      <c r="Q11" s="217" t="e">
        <f t="shared" si="3"/>
        <v>#N/A</v>
      </c>
      <c r="R11" s="217" t="e">
        <f>'Calc Feuille de résultats'!AT35</f>
        <v>#N/A</v>
      </c>
      <c r="S11" s="217" t="e">
        <f>'Calc Feuille de résultats'!AU35</f>
        <v>#N/A</v>
      </c>
      <c r="T11" s="218" t="e">
        <f t="shared" si="4"/>
        <v>#N/A</v>
      </c>
    </row>
    <row r="12" spans="1:20" ht="30" customHeight="1" x14ac:dyDescent="0.3">
      <c r="B12" s="68" t="str">
        <f>'Calc Feuille de résultats'!AJ36</f>
        <v/>
      </c>
      <c r="C12" s="157" t="str">
        <f>'Calc Feuille de résultats'!AK36</f>
        <v/>
      </c>
      <c r="D12" s="86" t="str">
        <f t="shared" si="0"/>
        <v/>
      </c>
      <c r="E12" s="86" t="str">
        <f>'Calc Feuille de résultats'!AM36</f>
        <v/>
      </c>
      <c r="F12" s="86" t="str">
        <f>'Calc Feuille de résultats'!AN36</f>
        <v/>
      </c>
      <c r="G12" s="210" t="str">
        <f>'Calc Feuille de résultats'!AL36</f>
        <v/>
      </c>
      <c r="H12" s="119"/>
      <c r="I12" s="87" t="str">
        <f>IF($C12="","",VLOOKUP($C12,'FEUILLE DE RESULTATS'!$AB$34:$AL$58,'FEUILLE DE RESULTATS'!AJ$33,0))</f>
        <v/>
      </c>
      <c r="J12" s="87" t="str">
        <f>IF($C12="","",VLOOKUP($C12,'FEUILLE DE RESULTATS'!$AB$34:$AL$58,'FEUILLE DE RESULTATS'!AK$33,0))</f>
        <v/>
      </c>
      <c r="K12" s="232" t="str">
        <f>IF($C12="","",VLOOKUP($C12,'FEUILLE DE RESULTATS'!$AB$34:$AL$58,'FEUILLE DE RESULTATS'!AL$33,0))</f>
        <v/>
      </c>
      <c r="L12" s="229" t="str">
        <f>IF(B12="","",'Calc Feuille de résultats'!AQ36)</f>
        <v/>
      </c>
      <c r="M12" s="217" t="e">
        <f t="shared" si="1"/>
        <v>#VALUE!</v>
      </c>
      <c r="N12" s="217">
        <f>'Calc Feuille de résultats'!AR36</f>
        <v>0</v>
      </c>
      <c r="O12" s="217">
        <f>'Calc Feuille de résultats'!AS36</f>
        <v>2</v>
      </c>
      <c r="P12" s="219" t="e">
        <f t="shared" si="2"/>
        <v>#VALUE!</v>
      </c>
      <c r="Q12" s="217" t="e">
        <f t="shared" si="3"/>
        <v>#N/A</v>
      </c>
      <c r="R12" s="217" t="e">
        <f>'Calc Feuille de résultats'!AT36</f>
        <v>#N/A</v>
      </c>
      <c r="S12" s="217" t="e">
        <f>'Calc Feuille de résultats'!AU36</f>
        <v>#N/A</v>
      </c>
      <c r="T12" s="218" t="e">
        <f t="shared" si="4"/>
        <v>#N/A</v>
      </c>
    </row>
    <row r="13" spans="1:20" ht="30" customHeight="1" x14ac:dyDescent="0.3">
      <c r="B13" s="68" t="str">
        <f>'Calc Feuille de résultats'!AJ37</f>
        <v/>
      </c>
      <c r="C13" s="157" t="str">
        <f>'Calc Feuille de résultats'!AK37</f>
        <v/>
      </c>
      <c r="D13" s="86" t="str">
        <f t="shared" si="0"/>
        <v/>
      </c>
      <c r="E13" s="86" t="str">
        <f>'Calc Feuille de résultats'!AM37</f>
        <v/>
      </c>
      <c r="F13" s="86" t="str">
        <f>'Calc Feuille de résultats'!AN37</f>
        <v/>
      </c>
      <c r="G13" s="210" t="str">
        <f>'Calc Feuille de résultats'!AL37</f>
        <v/>
      </c>
      <c r="H13" s="119"/>
      <c r="I13" s="87" t="str">
        <f>IF($C13="","",VLOOKUP($C13,'FEUILLE DE RESULTATS'!$AB$34:$AL$58,'FEUILLE DE RESULTATS'!AJ$33,0))</f>
        <v/>
      </c>
      <c r="J13" s="87" t="str">
        <f>IF($C13="","",VLOOKUP($C13,'FEUILLE DE RESULTATS'!$AB$34:$AL$58,'FEUILLE DE RESULTATS'!AK$33,0))</f>
        <v/>
      </c>
      <c r="K13" s="232" t="str">
        <f>IF($C13="","",VLOOKUP($C13,'FEUILLE DE RESULTATS'!$AB$34:$AL$58,'FEUILLE DE RESULTATS'!AL$33,0))</f>
        <v/>
      </c>
      <c r="L13" s="229" t="str">
        <f>IF(B13="","",'Calc Feuille de résultats'!AQ37)</f>
        <v/>
      </c>
      <c r="M13" s="217" t="e">
        <f t="shared" si="1"/>
        <v>#VALUE!</v>
      </c>
      <c r="N13" s="217">
        <f>'Calc Feuille de résultats'!AR37</f>
        <v>0</v>
      </c>
      <c r="O13" s="217">
        <f>'Calc Feuille de résultats'!AS37</f>
        <v>2</v>
      </c>
      <c r="P13" s="219" t="e">
        <f t="shared" si="2"/>
        <v>#VALUE!</v>
      </c>
      <c r="Q13" s="217" t="e">
        <f t="shared" si="3"/>
        <v>#N/A</v>
      </c>
      <c r="R13" s="217" t="e">
        <f>'Calc Feuille de résultats'!AT37</f>
        <v>#N/A</v>
      </c>
      <c r="S13" s="217" t="e">
        <f>'Calc Feuille de résultats'!AU37</f>
        <v>#N/A</v>
      </c>
      <c r="T13" s="218" t="e">
        <f t="shared" si="4"/>
        <v>#N/A</v>
      </c>
    </row>
    <row r="14" spans="1:20" s="148" customFormat="1" ht="30" customHeight="1" x14ac:dyDescent="0.25">
      <c r="B14" s="148" t="str">
        <f>'Calc Feuille de résultats'!AJ38</f>
        <v/>
      </c>
      <c r="C14" s="157" t="str">
        <f>'Calc Feuille de résultats'!AK38</f>
        <v/>
      </c>
      <c r="D14" s="86" t="str">
        <f t="shared" si="0"/>
        <v/>
      </c>
      <c r="E14" s="86" t="str">
        <f>'Calc Feuille de résultats'!AM38</f>
        <v/>
      </c>
      <c r="F14" s="86" t="str">
        <f>'Calc Feuille de résultats'!AN38</f>
        <v/>
      </c>
      <c r="G14" s="210" t="str">
        <f>'Calc Feuille de résultats'!AL38</f>
        <v/>
      </c>
      <c r="H14" s="149"/>
      <c r="I14" s="87" t="str">
        <f>IF($C14="","",VLOOKUP($C14,'FEUILLE DE RESULTATS'!$AB$34:$AL$58,'FEUILLE DE RESULTATS'!AJ$33,0))</f>
        <v/>
      </c>
      <c r="J14" s="87" t="str">
        <f>IF($C14="","",VLOOKUP($C14,'FEUILLE DE RESULTATS'!$AB$34:$AL$58,'FEUILLE DE RESULTATS'!AK$33,0))</f>
        <v/>
      </c>
      <c r="K14" s="232" t="str">
        <f>IF($C14="","",VLOOKUP($C14,'FEUILLE DE RESULTATS'!$AB$34:$AL$58,'FEUILLE DE RESULTATS'!AL$33,0))</f>
        <v/>
      </c>
      <c r="L14" s="229" t="str">
        <f>IF(B14="","",'Calc Feuille de résultats'!AQ38)</f>
        <v/>
      </c>
      <c r="M14" s="217" t="e">
        <f t="shared" si="1"/>
        <v>#VALUE!</v>
      </c>
      <c r="N14" s="217">
        <f>'Calc Feuille de résultats'!AR38</f>
        <v>0</v>
      </c>
      <c r="O14" s="217">
        <f>'Calc Feuille de résultats'!AS38</f>
        <v>2</v>
      </c>
      <c r="P14" s="219" t="e">
        <f t="shared" si="2"/>
        <v>#VALUE!</v>
      </c>
      <c r="Q14" s="217" t="e">
        <f t="shared" si="3"/>
        <v>#N/A</v>
      </c>
      <c r="R14" s="217" t="e">
        <f>'Calc Feuille de résultats'!AT38</f>
        <v>#N/A</v>
      </c>
      <c r="S14" s="217" t="e">
        <f>'Calc Feuille de résultats'!AU38</f>
        <v>#N/A</v>
      </c>
      <c r="T14" s="218" t="e">
        <f t="shared" si="4"/>
        <v>#N/A</v>
      </c>
    </row>
    <row r="15" spans="1:20" s="148" customFormat="1" ht="30" customHeight="1" thickBot="1" x14ac:dyDescent="0.3">
      <c r="B15" s="148" t="str">
        <f>'Calc Feuille de résultats'!AJ39</f>
        <v/>
      </c>
      <c r="C15" s="158" t="str">
        <f>'Calc Feuille de résultats'!AK39</f>
        <v/>
      </c>
      <c r="D15" s="159" t="str">
        <f t="shared" si="0"/>
        <v/>
      </c>
      <c r="E15" s="159" t="str">
        <f>'Calc Feuille de résultats'!AM39</f>
        <v/>
      </c>
      <c r="F15" s="159" t="str">
        <f>'Calc Feuille de résultats'!AN39</f>
        <v/>
      </c>
      <c r="G15" s="211" t="str">
        <f>'Calc Feuille de résultats'!AL39</f>
        <v/>
      </c>
      <c r="H15" s="160"/>
      <c r="I15" s="161" t="str">
        <f>IF($C15="","",VLOOKUP($C15,'FEUILLE DE RESULTATS'!$AB$34:$AL$58,'FEUILLE DE RESULTATS'!AJ$33,0))</f>
        <v/>
      </c>
      <c r="J15" s="161" t="str">
        <f>IF($C15="","",VLOOKUP($C15,'FEUILLE DE RESULTATS'!$AB$34:$AL$58,'FEUILLE DE RESULTATS'!AK$33,0))</f>
        <v/>
      </c>
      <c r="K15" s="233" t="str">
        <f>IF($C15="","",VLOOKUP($C15,'FEUILLE DE RESULTATS'!$AB$34:$AL$58,'FEUILLE DE RESULTATS'!AL$33,0))</f>
        <v/>
      </c>
      <c r="L15" s="230" t="str">
        <f>IF(B15="","",'Calc Feuille de résultats'!AQ39)</f>
        <v/>
      </c>
      <c r="M15" s="217" t="e">
        <f t="shared" si="1"/>
        <v>#VALUE!</v>
      </c>
      <c r="N15" s="217">
        <f>'Calc Feuille de résultats'!AR39</f>
        <v>0</v>
      </c>
      <c r="O15" s="217">
        <f>'Calc Feuille de résultats'!AS39</f>
        <v>2</v>
      </c>
      <c r="P15" s="219" t="e">
        <f t="shared" si="2"/>
        <v>#VALUE!</v>
      </c>
      <c r="Q15" s="217" t="e">
        <f t="shared" si="3"/>
        <v>#N/A</v>
      </c>
      <c r="R15" s="217" t="e">
        <f>'Calc Feuille de résultats'!AT39</f>
        <v>#N/A</v>
      </c>
      <c r="S15" s="217" t="e">
        <f>'Calc Feuille de résultats'!AU39</f>
        <v>#N/A</v>
      </c>
      <c r="T15" s="218" t="e">
        <f t="shared" si="4"/>
        <v>#N/A</v>
      </c>
    </row>
    <row r="16" spans="1:20" ht="22.5" customHeight="1" x14ac:dyDescent="0.3">
      <c r="C16" s="88" t="s">
        <v>293</v>
      </c>
      <c r="H16" s="253" t="s">
        <v>296</v>
      </c>
    </row>
    <row r="17" spans="3:8" ht="22.5" customHeight="1" x14ac:dyDescent="0.3">
      <c r="C17" s="88" t="s">
        <v>294</v>
      </c>
      <c r="H17" s="253"/>
    </row>
  </sheetData>
  <sheetProtection selectLockedCells="1"/>
  <mergeCells count="4">
    <mergeCell ref="Q5:T5"/>
    <mergeCell ref="H16:H17"/>
    <mergeCell ref="D2:E2"/>
    <mergeCell ref="M5:P5"/>
  </mergeCells>
  <dataValidations count="1">
    <dataValidation type="list" allowBlank="1" showInputMessage="1" showErrorMessage="1" sqref="H7:H15">
      <formula1>$A$1:$A$3</formula1>
    </dataValidation>
  </dataValidations>
  <pageMargins left="0.7" right="0.7" top="0.75" bottom="0.75" header="0.3" footer="0.3"/>
  <pageSetup paperSize="9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rgb="FFFFFF00"/>
  </sheetPr>
  <dimension ref="A1:N55"/>
  <sheetViews>
    <sheetView showGridLines="0" workbookViewId="0">
      <selection activeCell="K48" sqref="K48"/>
    </sheetView>
  </sheetViews>
  <sheetFormatPr baseColWidth="10" defaultRowHeight="12" customHeight="1" x14ac:dyDescent="0.25"/>
  <cols>
    <col min="1" max="1" width="1.42578125" customWidth="1"/>
    <col min="2" max="2" width="2" customWidth="1"/>
    <col min="4" max="4" width="14.42578125" customWidth="1"/>
    <col min="5" max="5" width="14.5703125" customWidth="1"/>
    <col min="6" max="6" width="9.7109375" customWidth="1"/>
    <col min="7" max="7" width="7.85546875" customWidth="1"/>
    <col min="8" max="8" width="16.42578125" customWidth="1"/>
    <col min="9" max="9" width="4.7109375" customWidth="1"/>
    <col min="10" max="10" width="1.5703125" customWidth="1"/>
  </cols>
  <sheetData>
    <row r="1" spans="1:9" ht="12" customHeight="1" x14ac:dyDescent="0.25">
      <c r="C1" s="90">
        <v>2</v>
      </c>
      <c r="D1" s="90">
        <v>3</v>
      </c>
      <c r="E1" s="90">
        <v>4</v>
      </c>
      <c r="F1" s="90">
        <v>5</v>
      </c>
      <c r="G1" s="90">
        <v>6</v>
      </c>
      <c r="H1" s="90">
        <v>7</v>
      </c>
      <c r="I1" s="90">
        <v>9</v>
      </c>
    </row>
    <row r="2" spans="1:9" ht="12" customHeight="1" x14ac:dyDescent="0.25">
      <c r="B2" s="90">
        <f>'FEUILLE DE RESULTATS'!N61</f>
        <v>0</v>
      </c>
      <c r="C2" s="255" t="s">
        <v>283</v>
      </c>
      <c r="D2" s="255"/>
      <c r="E2" s="255"/>
      <c r="F2" s="255"/>
      <c r="G2" s="255"/>
      <c r="H2" s="255"/>
      <c r="I2" s="255"/>
    </row>
    <row r="3" spans="1:9" ht="12" customHeight="1" x14ac:dyDescent="0.25">
      <c r="C3" s="255"/>
      <c r="D3" s="255"/>
      <c r="E3" s="255"/>
      <c r="F3" s="255"/>
      <c r="G3" s="255"/>
      <c r="H3" s="255"/>
      <c r="I3" s="255"/>
    </row>
    <row r="4" spans="1:9" ht="12" customHeight="1" x14ac:dyDescent="0.25">
      <c r="C4" s="255"/>
      <c r="D4" s="255"/>
      <c r="E4" s="255"/>
      <c r="F4" s="255"/>
      <c r="G4" s="255"/>
      <c r="H4" s="255"/>
      <c r="I4" s="255"/>
    </row>
    <row r="5" spans="1:9" ht="12" customHeight="1" x14ac:dyDescent="0.25">
      <c r="C5" s="255"/>
      <c r="D5" s="255"/>
      <c r="E5" s="255"/>
      <c r="F5" s="255"/>
      <c r="G5" s="255"/>
      <c r="H5" s="255"/>
      <c r="I5" s="255"/>
    </row>
    <row r="7" spans="1:9" ht="12" customHeight="1" x14ac:dyDescent="0.25">
      <c r="C7" s="78" t="s">
        <v>282</v>
      </c>
      <c r="D7" s="78"/>
      <c r="E7" s="78" t="s">
        <v>286</v>
      </c>
    </row>
    <row r="8" spans="1:9" ht="12" customHeight="1" thickBot="1" x14ac:dyDescent="0.3">
      <c r="F8" s="78"/>
      <c r="G8" s="78"/>
      <c r="H8" s="78"/>
    </row>
    <row r="9" spans="1:9" ht="12" customHeight="1" thickBot="1" x14ac:dyDescent="0.3">
      <c r="C9" s="3" t="str">
        <f>'FEUILLE DE RESULTATS'!O12</f>
        <v>Billard:</v>
      </c>
      <c r="D9" s="79" t="str">
        <f>'FEUILLE DE RESULTATS'!P12</f>
        <v>2m80</v>
      </c>
      <c r="E9" s="3" t="str">
        <f>'FEUILLE DE RESULTATS'!Q12</f>
        <v>Date:</v>
      </c>
      <c r="F9" s="256">
        <f>'FEUILLE DE RESULTATS'!R12</f>
        <v>0</v>
      </c>
      <c r="G9" s="257"/>
    </row>
    <row r="10" spans="1:9" ht="12" customHeight="1" thickBot="1" x14ac:dyDescent="0.3"/>
    <row r="11" spans="1:9" ht="12" customHeight="1" thickBot="1" x14ac:dyDescent="0.3">
      <c r="A11" s="90">
        <v>1</v>
      </c>
      <c r="B11" s="90" t="str">
        <f>IF(A11="","",IF(A11&lt;=$B$2,A11,""))</f>
        <v/>
      </c>
      <c r="C11" s="69" t="str">
        <f>IF(B11="","",VLOOKUP($B11,'FEUILLE DE RESULTATS'!$N$14:$V$57,'RESULTAT FFBSPORTIF'!C$1,0))</f>
        <v/>
      </c>
      <c r="D11" s="70" t="str">
        <f>IF(B11="","",VLOOKUP($B11,'FEUILLE DE RESULTATS'!$N$14:$V$57,'RESULTAT FFBSPORTIF'!D$1,0))</f>
        <v/>
      </c>
      <c r="E11" s="73" t="str">
        <f>IF(B11="","",VLOOKUP($B11,'FEUILLE DE RESULTATS'!$N$14:$V$57,'RESULTAT FFBSPORTIF'!E$1,0))</f>
        <v/>
      </c>
      <c r="F11" s="74" t="str">
        <f>IF(B11="","",VLOOKUP($B11,'FEUILLE DE RESULTATS'!$N$14:$V$57,'RESULTAT FFBSPORTIF'!F$1,0))</f>
        <v/>
      </c>
      <c r="G11" s="70"/>
      <c r="H11" s="70"/>
      <c r="I11" s="75"/>
    </row>
    <row r="12" spans="1:9" ht="12" customHeight="1" thickBot="1" x14ac:dyDescent="0.3">
      <c r="A12" s="90">
        <v>2</v>
      </c>
      <c r="B12" s="90" t="str">
        <f t="shared" ref="B12:B54" si="0">IF(A12="","",IF(A12&lt;=$B$2,A12,""))</f>
        <v/>
      </c>
      <c r="C12" s="71"/>
      <c r="D12" s="72" t="str">
        <f>IF(B12="","",VLOOKUP($B12,'FEUILLE DE RESULTATS'!$N$14:$V$57,'RESULTAT FFBSPORTIF'!D$1,0))</f>
        <v/>
      </c>
      <c r="E12" s="73" t="str">
        <f>IF(B12="","",VLOOKUP($B12,'FEUILLE DE RESULTATS'!$N$14:$V$57,'RESULTAT FFBSPORTIF'!E$1,0))</f>
        <v/>
      </c>
      <c r="F12" s="80" t="str">
        <f>IF(B12="","",VLOOKUP($B12,'FEUILLE DE RESULTATS'!$N$14:$V$57,'RESULTAT FFBSPORTIF'!F$1,0))</f>
        <v/>
      </c>
      <c r="G12" s="77" t="str">
        <f>IF(B12="","",VLOOKUP($B12,'FEUILLE DE RESULTATS'!$N$14:$V$57,'RESULTAT FFBSPORTIF'!G$1,0))</f>
        <v/>
      </c>
      <c r="H12" s="72" t="str">
        <f>IF(B12="","",VLOOKUP($B12,'FEUILLE DE RESULTATS'!$N$14:$V$57,'RESULTAT FFBSPORTIF'!H$1,0))</f>
        <v/>
      </c>
      <c r="I12" s="76" t="str">
        <f>IF(B12="","",VLOOKUP($B12,'FEUILLE DE RESULTATS'!$N$14:$V$57,'RESULTAT FFBSPORTIF'!I$1,0))</f>
        <v/>
      </c>
    </row>
    <row r="13" spans="1:9" ht="12" customHeight="1" thickBot="1" x14ac:dyDescent="0.3">
      <c r="A13" s="90">
        <v>3</v>
      </c>
      <c r="B13" s="90" t="str">
        <f t="shared" si="0"/>
        <v/>
      </c>
      <c r="C13" s="69" t="str">
        <f>IF(B13="","",VLOOKUP($B13,'FEUILLE DE RESULTATS'!$N$14:$V$57,'RESULTAT FFBSPORTIF'!C$1,0))</f>
        <v/>
      </c>
      <c r="D13" s="70" t="str">
        <f>IF(B13="","",VLOOKUP($B13,'FEUILLE DE RESULTATS'!$N$14:$V$57,'RESULTAT FFBSPORTIF'!D$1,0))</f>
        <v/>
      </c>
      <c r="E13" s="73" t="str">
        <f>IF(B13="","",VLOOKUP($B13,'FEUILLE DE RESULTATS'!$N$14:$V$57,'RESULTAT FFBSPORTIF'!E$1,0))</f>
        <v/>
      </c>
      <c r="F13" s="74" t="str">
        <f>IF(B13="","",VLOOKUP($B13,'FEUILLE DE RESULTATS'!$N$14:$V$57,'RESULTAT FFBSPORTIF'!F$1,0))</f>
        <v/>
      </c>
      <c r="G13" s="70"/>
      <c r="H13" s="70"/>
      <c r="I13" s="75"/>
    </row>
    <row r="14" spans="1:9" ht="12" customHeight="1" thickBot="1" x14ac:dyDescent="0.3">
      <c r="A14" s="90">
        <v>4</v>
      </c>
      <c r="B14" s="90" t="str">
        <f t="shared" si="0"/>
        <v/>
      </c>
      <c r="C14" s="71"/>
      <c r="D14" s="72" t="str">
        <f>IF(B14="","",VLOOKUP($B14,'FEUILLE DE RESULTATS'!$N$14:$V$57,'RESULTAT FFBSPORTIF'!D$1,0))</f>
        <v/>
      </c>
      <c r="E14" s="76" t="str">
        <f>IF(B14="","",VLOOKUP($B14,'FEUILLE DE RESULTATS'!$N$14:$V$57,'RESULTAT FFBSPORTIF'!E$1,0))</f>
        <v/>
      </c>
      <c r="F14" s="76" t="str">
        <f>IF(B14="","",VLOOKUP($B14,'FEUILLE DE RESULTATS'!$N$14:$V$57,'RESULTAT FFBSPORTIF'!F$1,0))</f>
        <v/>
      </c>
      <c r="G14" s="77" t="str">
        <f>IF(B14="","",VLOOKUP($B14,'FEUILLE DE RESULTATS'!$N$14:$V$57,'RESULTAT FFBSPORTIF'!G$1,0))</f>
        <v/>
      </c>
      <c r="H14" s="72" t="str">
        <f>IF(B14="","",VLOOKUP($B14,'FEUILLE DE RESULTATS'!$N$14:$V$57,'RESULTAT FFBSPORTIF'!H$1,0))</f>
        <v/>
      </c>
      <c r="I14" s="76" t="str">
        <f>IF(B14="","",VLOOKUP($B14,'FEUILLE DE RESULTATS'!$N$14:$V$57,'RESULTAT FFBSPORTIF'!I$1,0))</f>
        <v/>
      </c>
    </row>
    <row r="15" spans="1:9" ht="12" customHeight="1" thickBot="1" x14ac:dyDescent="0.3">
      <c r="A15" s="90"/>
      <c r="B15" s="90">
        <f>IFERROR(B11+B12+B13+B14,0)</f>
        <v>0</v>
      </c>
    </row>
    <row r="16" spans="1:9" ht="12" customHeight="1" thickBot="1" x14ac:dyDescent="0.3">
      <c r="A16" s="90">
        <v>5</v>
      </c>
      <c r="B16" s="90" t="str">
        <f t="shared" si="0"/>
        <v/>
      </c>
      <c r="C16" s="69" t="str">
        <f>IF(B16="","",VLOOKUP($B16,'FEUILLE DE RESULTATS'!$N$14:$V$57,'RESULTAT FFBSPORTIF'!C$1,0))</f>
        <v/>
      </c>
      <c r="D16" s="70" t="str">
        <f>IF(B16="","",VLOOKUP($B16,'FEUILLE DE RESULTATS'!$N$14:$V$57,'RESULTAT FFBSPORTIF'!D$1,0))</f>
        <v/>
      </c>
      <c r="E16" s="73" t="str">
        <f>IF(B16="","",VLOOKUP($B16,'FEUILLE DE RESULTATS'!$N$14:$V$57,'RESULTAT FFBSPORTIF'!E$1,0))</f>
        <v/>
      </c>
      <c r="F16" s="74" t="str">
        <f>IF(B16="","",VLOOKUP($B16,'FEUILLE DE RESULTATS'!$N$14:$V$57,'RESULTAT FFBSPORTIF'!F$1,0))</f>
        <v/>
      </c>
      <c r="G16" s="70"/>
      <c r="H16" s="70"/>
      <c r="I16" s="75"/>
    </row>
    <row r="17" spans="1:14" ht="12" customHeight="1" thickBot="1" x14ac:dyDescent="0.3">
      <c r="A17" s="90">
        <v>6</v>
      </c>
      <c r="B17" s="90" t="str">
        <f t="shared" si="0"/>
        <v/>
      </c>
      <c r="C17" s="71"/>
      <c r="D17" s="72" t="str">
        <f>IF(B17="","",VLOOKUP($B17,'FEUILLE DE RESULTATS'!$N$14:$V$57,'RESULTAT FFBSPORTIF'!D$1,0))</f>
        <v/>
      </c>
      <c r="E17" s="73" t="str">
        <f>IF(B17="","",VLOOKUP($B17,'FEUILLE DE RESULTATS'!$N$14:$V$57,'RESULTAT FFBSPORTIF'!E$1,0))</f>
        <v/>
      </c>
      <c r="F17" s="80" t="str">
        <f>IF(B17="","",VLOOKUP($B17,'FEUILLE DE RESULTATS'!$N$14:$V$57,'RESULTAT FFBSPORTIF'!F$1,0))</f>
        <v/>
      </c>
      <c r="G17" s="77" t="str">
        <f>IF(B17="","",VLOOKUP($B17,'FEUILLE DE RESULTATS'!$N$14:$V$57,'RESULTAT FFBSPORTIF'!G$1,0))</f>
        <v/>
      </c>
      <c r="H17" s="72" t="str">
        <f>IF(B17="","",VLOOKUP($B17,'FEUILLE DE RESULTATS'!$N$14:$V$57,'RESULTAT FFBSPORTIF'!H$1,0))</f>
        <v/>
      </c>
      <c r="I17" s="76" t="str">
        <f>IF(B17="","",VLOOKUP($B17,'FEUILLE DE RESULTATS'!$N$14:$V$57,'RESULTAT FFBSPORTIF'!I$1,0))</f>
        <v/>
      </c>
    </row>
    <row r="18" spans="1:14" ht="12" customHeight="1" thickBot="1" x14ac:dyDescent="0.3">
      <c r="A18" s="90">
        <v>7</v>
      </c>
      <c r="B18" s="90" t="str">
        <f t="shared" si="0"/>
        <v/>
      </c>
      <c r="C18" s="69" t="str">
        <f>IF(B18="","",VLOOKUP($B18,'FEUILLE DE RESULTATS'!$N$14:$V$57,'RESULTAT FFBSPORTIF'!C$1,0))</f>
        <v/>
      </c>
      <c r="D18" s="70" t="str">
        <f>IF(B18="","",VLOOKUP($B18,'FEUILLE DE RESULTATS'!$N$14:$V$57,'RESULTAT FFBSPORTIF'!D$1,0))</f>
        <v/>
      </c>
      <c r="E18" s="73" t="str">
        <f>IF(B18="","",VLOOKUP($B18,'FEUILLE DE RESULTATS'!$N$14:$V$57,'RESULTAT FFBSPORTIF'!E$1,0))</f>
        <v/>
      </c>
      <c r="F18" s="74" t="str">
        <f>IF(B18="","",VLOOKUP($B18,'FEUILLE DE RESULTATS'!$N$14:$V$57,'RESULTAT FFBSPORTIF'!F$1,0))</f>
        <v/>
      </c>
      <c r="G18" s="70"/>
      <c r="H18" s="70"/>
      <c r="I18" s="75"/>
    </row>
    <row r="19" spans="1:14" ht="12" customHeight="1" thickBot="1" x14ac:dyDescent="0.3">
      <c r="A19" s="90">
        <v>8</v>
      </c>
      <c r="B19" s="90" t="str">
        <f t="shared" si="0"/>
        <v/>
      </c>
      <c r="C19" s="71"/>
      <c r="D19" s="72" t="str">
        <f>IF(B19="","",VLOOKUP($B19,'FEUILLE DE RESULTATS'!$N$14:$V$57,'RESULTAT FFBSPORTIF'!D$1,0))</f>
        <v/>
      </c>
      <c r="E19" s="76" t="str">
        <f>IF(B19="","",VLOOKUP($B19,'FEUILLE DE RESULTATS'!$N$14:$V$57,'RESULTAT FFBSPORTIF'!E$1,0))</f>
        <v/>
      </c>
      <c r="F19" s="76" t="str">
        <f>IF(B19="","",VLOOKUP($B19,'FEUILLE DE RESULTATS'!$N$14:$V$57,'RESULTAT FFBSPORTIF'!F$1,0))</f>
        <v/>
      </c>
      <c r="G19" s="77" t="str">
        <f>IF(B19="","",VLOOKUP($B19,'FEUILLE DE RESULTATS'!$N$14:$V$57,'RESULTAT FFBSPORTIF'!G$1,0))</f>
        <v/>
      </c>
      <c r="H19" s="72" t="str">
        <f>IF(B19="","",VLOOKUP($B19,'FEUILLE DE RESULTATS'!$N$14:$V$57,'RESULTAT FFBSPORTIF'!H$1,0))</f>
        <v/>
      </c>
      <c r="I19" s="76" t="str">
        <f>IF(B19="","",VLOOKUP($B19,'FEUILLE DE RESULTATS'!$N$14:$V$57,'RESULTAT FFBSPORTIF'!I$1,0))</f>
        <v/>
      </c>
    </row>
    <row r="20" spans="1:14" ht="12" customHeight="1" thickBot="1" x14ac:dyDescent="0.3">
      <c r="A20" s="90"/>
      <c r="B20" s="90">
        <f>IFERROR(B16+B17+B18+B19,0)</f>
        <v>0</v>
      </c>
    </row>
    <row r="21" spans="1:14" ht="12" customHeight="1" thickBot="1" x14ac:dyDescent="0.3">
      <c r="A21" s="90">
        <v>9</v>
      </c>
      <c r="B21" s="90" t="str">
        <f t="shared" si="0"/>
        <v/>
      </c>
      <c r="C21" s="69" t="str">
        <f>IF(B21="","",VLOOKUP($B21,'FEUILLE DE RESULTATS'!$N$14:$V$57,'RESULTAT FFBSPORTIF'!C$1,0))</f>
        <v/>
      </c>
      <c r="D21" s="70" t="str">
        <f>IF(B21="","",VLOOKUP($B21,'FEUILLE DE RESULTATS'!$N$14:$V$57,'RESULTAT FFBSPORTIF'!D$1,0))</f>
        <v/>
      </c>
      <c r="E21" s="73" t="str">
        <f>IF(B21="","",VLOOKUP($B21,'FEUILLE DE RESULTATS'!$N$14:$V$57,'RESULTAT FFBSPORTIF'!E$1,0))</f>
        <v/>
      </c>
      <c r="F21" s="74" t="str">
        <f>IF(B21="","",VLOOKUP($B21,'FEUILLE DE RESULTATS'!$N$14:$V$57,'RESULTAT FFBSPORTIF'!F$1,0))</f>
        <v/>
      </c>
      <c r="G21" s="70"/>
      <c r="H21" s="70"/>
      <c r="I21" s="75"/>
    </row>
    <row r="22" spans="1:14" ht="12" customHeight="1" thickBot="1" x14ac:dyDescent="0.3">
      <c r="A22" s="90">
        <v>10</v>
      </c>
      <c r="B22" s="90" t="str">
        <f t="shared" si="0"/>
        <v/>
      </c>
      <c r="C22" s="71"/>
      <c r="D22" s="72" t="str">
        <f>IF(B22="","",VLOOKUP($B22,'FEUILLE DE RESULTATS'!$N$14:$V$57,'RESULTAT FFBSPORTIF'!D$1,0))</f>
        <v/>
      </c>
      <c r="E22" s="73" t="str">
        <f>IF(B22="","",VLOOKUP($B22,'FEUILLE DE RESULTATS'!$N$14:$V$57,'RESULTAT FFBSPORTIF'!E$1,0))</f>
        <v/>
      </c>
      <c r="F22" s="80" t="str">
        <f>IF(B22="","",VLOOKUP($B22,'FEUILLE DE RESULTATS'!$N$14:$V$57,'RESULTAT FFBSPORTIF'!F$1,0))</f>
        <v/>
      </c>
      <c r="G22" s="77" t="str">
        <f>IF(B22="","",VLOOKUP($B22,'FEUILLE DE RESULTATS'!$N$14:$V$57,'RESULTAT FFBSPORTIF'!G$1,0))</f>
        <v/>
      </c>
      <c r="H22" s="72" t="str">
        <f>IF(B22="","",VLOOKUP($B22,'FEUILLE DE RESULTATS'!$N$14:$V$57,'RESULTAT FFBSPORTIF'!H$1,0))</f>
        <v/>
      </c>
      <c r="I22" s="76" t="str">
        <f>IF(B22="","",VLOOKUP($B22,'FEUILLE DE RESULTATS'!$N$14:$V$57,'RESULTAT FFBSPORTIF'!I$1,0))</f>
        <v/>
      </c>
    </row>
    <row r="23" spans="1:14" ht="12" customHeight="1" thickBot="1" x14ac:dyDescent="0.3">
      <c r="A23" s="90">
        <v>11</v>
      </c>
      <c r="B23" s="90" t="str">
        <f t="shared" si="0"/>
        <v/>
      </c>
      <c r="C23" s="69" t="str">
        <f>IF(B23="","",VLOOKUP($B23,'FEUILLE DE RESULTATS'!$N$14:$V$57,'RESULTAT FFBSPORTIF'!C$1,0))</f>
        <v/>
      </c>
      <c r="D23" s="70" t="str">
        <f>IF(B23="","",VLOOKUP($B23,'FEUILLE DE RESULTATS'!$N$14:$V$57,'RESULTAT FFBSPORTIF'!D$1,0))</f>
        <v/>
      </c>
      <c r="E23" s="73" t="str">
        <f>IF(B23="","",VLOOKUP($B23,'FEUILLE DE RESULTATS'!$N$14:$V$57,'RESULTAT FFBSPORTIF'!E$1,0))</f>
        <v/>
      </c>
      <c r="F23" s="74" t="str">
        <f>IF(B23="","",VLOOKUP($B23,'FEUILLE DE RESULTATS'!$N$14:$V$57,'RESULTAT FFBSPORTIF'!F$1,0))</f>
        <v/>
      </c>
      <c r="G23" s="70"/>
      <c r="H23" s="70"/>
      <c r="I23" s="75"/>
    </row>
    <row r="24" spans="1:14" ht="12" customHeight="1" thickBot="1" x14ac:dyDescent="0.3">
      <c r="A24" s="90">
        <v>12</v>
      </c>
      <c r="B24" s="90" t="str">
        <f t="shared" si="0"/>
        <v/>
      </c>
      <c r="C24" s="71"/>
      <c r="D24" s="72" t="str">
        <f>IF(B24="","",VLOOKUP($B24,'FEUILLE DE RESULTATS'!$N$14:$V$57,'RESULTAT FFBSPORTIF'!D$1,0))</f>
        <v/>
      </c>
      <c r="E24" s="76" t="str">
        <f>IF(B24="","",VLOOKUP($B24,'FEUILLE DE RESULTATS'!$N$14:$V$57,'RESULTAT FFBSPORTIF'!E$1,0))</f>
        <v/>
      </c>
      <c r="F24" s="76" t="str">
        <f>IF(B24="","",VLOOKUP($B24,'FEUILLE DE RESULTATS'!$N$14:$V$57,'RESULTAT FFBSPORTIF'!F$1,0))</f>
        <v/>
      </c>
      <c r="G24" s="77" t="str">
        <f>IF(B24="","",VLOOKUP($B24,'FEUILLE DE RESULTATS'!$N$14:$V$57,'RESULTAT FFBSPORTIF'!G$1,0))</f>
        <v/>
      </c>
      <c r="H24" s="72" t="str">
        <f>IF(B24="","",VLOOKUP($B24,'FEUILLE DE RESULTATS'!$N$14:$V$57,'RESULTAT FFBSPORTIF'!H$1,0))</f>
        <v/>
      </c>
      <c r="I24" s="76" t="str">
        <f>IF(B24="","",VLOOKUP($B24,'FEUILLE DE RESULTATS'!$N$14:$V$57,'RESULTAT FFBSPORTIF'!I$1,0))</f>
        <v/>
      </c>
    </row>
    <row r="25" spans="1:14" ht="12" customHeight="1" thickBot="1" x14ac:dyDescent="0.3">
      <c r="A25" s="90"/>
      <c r="B25" s="90">
        <f>IFERROR(B21+B22+B23+B24,0)</f>
        <v>0</v>
      </c>
    </row>
    <row r="26" spans="1:14" ht="12" customHeight="1" thickBot="1" x14ac:dyDescent="0.3">
      <c r="A26" s="90">
        <v>13</v>
      </c>
      <c r="B26" s="90" t="str">
        <f t="shared" si="0"/>
        <v/>
      </c>
      <c r="C26" s="69" t="str">
        <f>IF(B26="","",VLOOKUP($B26,'FEUILLE DE RESULTATS'!$N$14:$V$57,'RESULTAT FFBSPORTIF'!C$1,0))</f>
        <v/>
      </c>
      <c r="D26" s="70" t="str">
        <f>IF(B26="","",VLOOKUP($B26,'FEUILLE DE RESULTATS'!$N$14:$V$57,'RESULTAT FFBSPORTIF'!D$1,0))</f>
        <v/>
      </c>
      <c r="E26" s="73" t="str">
        <f>IF(B26="","",VLOOKUP($B26,'FEUILLE DE RESULTATS'!$N$14:$V$57,'RESULTAT FFBSPORTIF'!E$1,0))</f>
        <v/>
      </c>
      <c r="F26" s="74" t="str">
        <f>IF(B26="","",VLOOKUP($B26,'FEUILLE DE RESULTATS'!$N$14:$V$57,'RESULTAT FFBSPORTIF'!F$1,0))</f>
        <v/>
      </c>
      <c r="G26" s="70"/>
      <c r="H26" s="70"/>
      <c r="I26" s="75"/>
    </row>
    <row r="27" spans="1:14" ht="12" customHeight="1" thickBot="1" x14ac:dyDescent="0.3">
      <c r="A27" s="90">
        <v>14</v>
      </c>
      <c r="B27" s="90" t="str">
        <f t="shared" si="0"/>
        <v/>
      </c>
      <c r="C27" s="71"/>
      <c r="D27" s="72" t="str">
        <f>IF(B27="","",VLOOKUP($B27,'FEUILLE DE RESULTATS'!$N$14:$V$57,'RESULTAT FFBSPORTIF'!D$1,0))</f>
        <v/>
      </c>
      <c r="E27" s="73" t="str">
        <f>IF(B27="","",VLOOKUP($B27,'FEUILLE DE RESULTATS'!$N$14:$V$57,'RESULTAT FFBSPORTIF'!E$1,0))</f>
        <v/>
      </c>
      <c r="F27" s="80" t="str">
        <f>IF(B27="","",VLOOKUP($B27,'FEUILLE DE RESULTATS'!$N$14:$V$57,'RESULTAT FFBSPORTIF'!F$1,0))</f>
        <v/>
      </c>
      <c r="G27" s="77" t="str">
        <f>IF(B27="","",VLOOKUP($B27,'FEUILLE DE RESULTATS'!$N$14:$V$57,'RESULTAT FFBSPORTIF'!G$1,0))</f>
        <v/>
      </c>
      <c r="H27" s="72" t="str">
        <f>IF(B27="","",VLOOKUP($B27,'FEUILLE DE RESULTATS'!$N$14:$V$57,'RESULTAT FFBSPORTIF'!H$1,0))</f>
        <v/>
      </c>
      <c r="I27" s="76" t="str">
        <f>IF(B27="","",VLOOKUP($B27,'FEUILLE DE RESULTATS'!$N$14:$V$57,'RESULTAT FFBSPORTIF'!I$1,0))</f>
        <v/>
      </c>
    </row>
    <row r="28" spans="1:14" ht="12" customHeight="1" thickBot="1" x14ac:dyDescent="0.3">
      <c r="A28" s="90">
        <v>15</v>
      </c>
      <c r="B28" s="90" t="str">
        <f t="shared" si="0"/>
        <v/>
      </c>
      <c r="C28" s="69" t="str">
        <f>IF(B28="","",VLOOKUP($B28,'FEUILLE DE RESULTATS'!$N$14:$V$57,'RESULTAT FFBSPORTIF'!C$1,0))</f>
        <v/>
      </c>
      <c r="D28" s="70" t="str">
        <f>IF(B28="","",VLOOKUP($B28,'FEUILLE DE RESULTATS'!$N$14:$V$57,'RESULTAT FFBSPORTIF'!D$1,0))</f>
        <v/>
      </c>
      <c r="E28" s="73" t="str">
        <f>IF(B28="","",VLOOKUP($B28,'FEUILLE DE RESULTATS'!$N$14:$V$57,'RESULTAT FFBSPORTIF'!E$1,0))</f>
        <v/>
      </c>
      <c r="F28" s="74" t="str">
        <f>IF(B28="","",VLOOKUP($B28,'FEUILLE DE RESULTATS'!$N$14:$V$57,'RESULTAT FFBSPORTIF'!F$1,0))</f>
        <v/>
      </c>
      <c r="G28" s="70"/>
      <c r="H28" s="70"/>
      <c r="I28" s="75"/>
      <c r="N28" s="78"/>
    </row>
    <row r="29" spans="1:14" ht="12" customHeight="1" thickBot="1" x14ac:dyDescent="0.3">
      <c r="A29" s="90">
        <v>16</v>
      </c>
      <c r="B29" s="90" t="str">
        <f t="shared" si="0"/>
        <v/>
      </c>
      <c r="C29" s="71"/>
      <c r="D29" s="72" t="str">
        <f>IF(B29="","",VLOOKUP($B29,'FEUILLE DE RESULTATS'!$N$14:$V$57,'RESULTAT FFBSPORTIF'!D$1,0))</f>
        <v/>
      </c>
      <c r="E29" s="76" t="str">
        <f>IF(B29="","",VLOOKUP($B29,'FEUILLE DE RESULTATS'!$N$14:$V$57,'RESULTAT FFBSPORTIF'!E$1,0))</f>
        <v/>
      </c>
      <c r="F29" s="76" t="str">
        <f>IF(B29="","",VLOOKUP($B29,'FEUILLE DE RESULTATS'!$N$14:$V$57,'RESULTAT FFBSPORTIF'!F$1,0))</f>
        <v/>
      </c>
      <c r="G29" s="77" t="str">
        <f>IF(B29="","",VLOOKUP($B29,'FEUILLE DE RESULTATS'!$N$14:$V$57,'RESULTAT FFBSPORTIF'!G$1,0))</f>
        <v/>
      </c>
      <c r="H29" s="72" t="str">
        <f>IF(B29="","",VLOOKUP($B29,'FEUILLE DE RESULTATS'!$N$14:$V$57,'RESULTAT FFBSPORTIF'!H$1,0))</f>
        <v/>
      </c>
      <c r="I29" s="76" t="str">
        <f>IF(B29="","",VLOOKUP($B29,'FEUILLE DE RESULTATS'!$N$14:$V$57,'RESULTAT FFBSPORTIF'!I$1,0))</f>
        <v/>
      </c>
    </row>
    <row r="30" spans="1:14" ht="12" customHeight="1" thickBot="1" x14ac:dyDescent="0.3">
      <c r="A30" s="90"/>
      <c r="B30" s="90">
        <f>IFERROR(B26+B27+B28+B29,0)</f>
        <v>0</v>
      </c>
    </row>
    <row r="31" spans="1:14" ht="12" customHeight="1" thickBot="1" x14ac:dyDescent="0.3">
      <c r="A31" s="90">
        <v>17</v>
      </c>
      <c r="B31" s="90" t="str">
        <f t="shared" si="0"/>
        <v/>
      </c>
      <c r="C31" s="69" t="str">
        <f>IF(B31="","",VLOOKUP($B31,'FEUILLE DE RESULTATS'!$N$14:$V$57,'RESULTAT FFBSPORTIF'!C$1,0))</f>
        <v/>
      </c>
      <c r="D31" s="70" t="str">
        <f>IF(B31="","",VLOOKUP($B31,'FEUILLE DE RESULTATS'!$N$14:$V$57,'RESULTAT FFBSPORTIF'!D$1,0))</f>
        <v/>
      </c>
      <c r="E31" s="73" t="str">
        <f>IF(B31="","",VLOOKUP($B31,'FEUILLE DE RESULTATS'!$N$14:$V$57,'RESULTAT FFBSPORTIF'!E$1,0))</f>
        <v/>
      </c>
      <c r="F31" s="74" t="str">
        <f>IF(B31="","",VLOOKUP($B31,'FEUILLE DE RESULTATS'!$N$14:$V$57,'RESULTAT FFBSPORTIF'!F$1,0))</f>
        <v/>
      </c>
      <c r="G31" s="70"/>
      <c r="H31" s="70"/>
      <c r="I31" s="75"/>
    </row>
    <row r="32" spans="1:14" ht="12" customHeight="1" thickBot="1" x14ac:dyDescent="0.3">
      <c r="A32" s="90">
        <v>18</v>
      </c>
      <c r="B32" s="90" t="str">
        <f t="shared" si="0"/>
        <v/>
      </c>
      <c r="C32" s="71"/>
      <c r="D32" s="72" t="str">
        <f>IF(B32="","",VLOOKUP($B32,'FEUILLE DE RESULTATS'!$N$14:$V$57,'RESULTAT FFBSPORTIF'!D$1,0))</f>
        <v/>
      </c>
      <c r="E32" s="73" t="str">
        <f>IF(B32="","",VLOOKUP($B32,'FEUILLE DE RESULTATS'!$N$14:$V$57,'RESULTAT FFBSPORTIF'!E$1,0))</f>
        <v/>
      </c>
      <c r="F32" s="80" t="str">
        <f>IF(B32="","",VLOOKUP($B32,'FEUILLE DE RESULTATS'!$N$14:$V$57,'RESULTAT FFBSPORTIF'!F$1,0))</f>
        <v/>
      </c>
      <c r="G32" s="77" t="str">
        <f>IF(B32="","",VLOOKUP($B32,'FEUILLE DE RESULTATS'!$N$14:$V$57,'RESULTAT FFBSPORTIF'!G$1,0))</f>
        <v/>
      </c>
      <c r="H32" s="72" t="str">
        <f>IF(B32="","",VLOOKUP($B32,'FEUILLE DE RESULTATS'!$N$14:$V$57,'RESULTAT FFBSPORTIF'!H$1,0))</f>
        <v/>
      </c>
      <c r="I32" s="76" t="str">
        <f>IF(B32="","",VLOOKUP($B32,'FEUILLE DE RESULTATS'!$N$14:$V$57,'RESULTAT FFBSPORTIF'!I$1,0))</f>
        <v/>
      </c>
    </row>
    <row r="33" spans="1:9" ht="12" customHeight="1" thickBot="1" x14ac:dyDescent="0.3">
      <c r="A33" s="90">
        <v>19</v>
      </c>
      <c r="B33" s="90" t="str">
        <f t="shared" si="0"/>
        <v/>
      </c>
      <c r="C33" s="69" t="str">
        <f>IF(B33="","",VLOOKUP($B33,'FEUILLE DE RESULTATS'!$N$14:$V$57,'RESULTAT FFBSPORTIF'!C$1,0))</f>
        <v/>
      </c>
      <c r="D33" s="70" t="str">
        <f>IF(B33="","",VLOOKUP($B33,'FEUILLE DE RESULTATS'!$N$14:$V$57,'RESULTAT FFBSPORTIF'!D$1,0))</f>
        <v/>
      </c>
      <c r="E33" s="73" t="str">
        <f>IF(B33="","",VLOOKUP($B33,'FEUILLE DE RESULTATS'!$N$14:$V$57,'RESULTAT FFBSPORTIF'!E$1,0))</f>
        <v/>
      </c>
      <c r="F33" s="74" t="str">
        <f>IF(B33="","",VLOOKUP($B33,'FEUILLE DE RESULTATS'!$N$14:$V$57,'RESULTAT FFBSPORTIF'!F$1,0))</f>
        <v/>
      </c>
      <c r="G33" s="70"/>
      <c r="H33" s="70"/>
      <c r="I33" s="75"/>
    </row>
    <row r="34" spans="1:9" ht="12" customHeight="1" thickBot="1" x14ac:dyDescent="0.3">
      <c r="A34" s="90">
        <v>20</v>
      </c>
      <c r="B34" s="90" t="str">
        <f t="shared" si="0"/>
        <v/>
      </c>
      <c r="C34" s="71"/>
      <c r="D34" s="72" t="str">
        <f>IF(B34="","",VLOOKUP($B34,'FEUILLE DE RESULTATS'!$N$14:$V$57,'RESULTAT FFBSPORTIF'!D$1,0))</f>
        <v/>
      </c>
      <c r="E34" s="76" t="str">
        <f>IF(B34="","",VLOOKUP($B34,'FEUILLE DE RESULTATS'!$N$14:$V$57,'RESULTAT FFBSPORTIF'!E$1,0))</f>
        <v/>
      </c>
      <c r="F34" s="76" t="str">
        <f>IF(B34="","",VLOOKUP($B34,'FEUILLE DE RESULTATS'!$N$14:$V$57,'RESULTAT FFBSPORTIF'!F$1,0))</f>
        <v/>
      </c>
      <c r="G34" s="77" t="str">
        <f>IF(B34="","",VLOOKUP($B34,'FEUILLE DE RESULTATS'!$N$14:$V$57,'RESULTAT FFBSPORTIF'!G$1,0))</f>
        <v/>
      </c>
      <c r="H34" s="72" t="str">
        <f>IF(B34="","",VLOOKUP($B34,'FEUILLE DE RESULTATS'!$N$14:$V$57,'RESULTAT FFBSPORTIF'!H$1,0))</f>
        <v/>
      </c>
      <c r="I34" s="76" t="str">
        <f>IF(B34="","",VLOOKUP($B34,'FEUILLE DE RESULTATS'!$N$14:$V$57,'RESULTAT FFBSPORTIF'!I$1,0))</f>
        <v/>
      </c>
    </row>
    <row r="35" spans="1:9" ht="12" customHeight="1" thickBot="1" x14ac:dyDescent="0.3">
      <c r="A35" s="90"/>
      <c r="B35" s="90">
        <f>IFERROR(B31+B32+B33+B34,0)</f>
        <v>0</v>
      </c>
    </row>
    <row r="36" spans="1:9" ht="12" customHeight="1" thickBot="1" x14ac:dyDescent="0.3">
      <c r="A36" s="90">
        <v>21</v>
      </c>
      <c r="B36" s="90" t="str">
        <f t="shared" si="0"/>
        <v/>
      </c>
      <c r="C36" s="69" t="str">
        <f>IF(B36="","",VLOOKUP($B36,'FEUILLE DE RESULTATS'!$N$14:$V$57,'RESULTAT FFBSPORTIF'!C$1,0))</f>
        <v/>
      </c>
      <c r="D36" s="70" t="str">
        <f>IF(B36="","",VLOOKUP($B36,'FEUILLE DE RESULTATS'!$N$14:$V$57,'RESULTAT FFBSPORTIF'!D$1,0))</f>
        <v/>
      </c>
      <c r="E36" s="73" t="str">
        <f>IF(B36="","",VLOOKUP($B36,'FEUILLE DE RESULTATS'!$N$14:$V$57,'RESULTAT FFBSPORTIF'!E$1,0))</f>
        <v/>
      </c>
      <c r="F36" s="74" t="str">
        <f>IF(B36="","",VLOOKUP($B36,'FEUILLE DE RESULTATS'!$N$14:$V$57,'RESULTAT FFBSPORTIF'!F$1,0))</f>
        <v/>
      </c>
      <c r="G36" s="70"/>
      <c r="H36" s="70"/>
      <c r="I36" s="75"/>
    </row>
    <row r="37" spans="1:9" ht="12" customHeight="1" thickBot="1" x14ac:dyDescent="0.3">
      <c r="A37" s="90">
        <v>22</v>
      </c>
      <c r="B37" s="90" t="str">
        <f t="shared" si="0"/>
        <v/>
      </c>
      <c r="C37" s="71"/>
      <c r="D37" s="72" t="str">
        <f>IF(B37="","",VLOOKUP($B37,'FEUILLE DE RESULTATS'!$N$14:$V$57,'RESULTAT FFBSPORTIF'!D$1,0))</f>
        <v/>
      </c>
      <c r="E37" s="73" t="str">
        <f>IF(B37="","",VLOOKUP($B37,'FEUILLE DE RESULTATS'!$N$14:$V$57,'RESULTAT FFBSPORTIF'!E$1,0))</f>
        <v/>
      </c>
      <c r="F37" s="80" t="str">
        <f>IF(B37="","",VLOOKUP($B37,'FEUILLE DE RESULTATS'!$N$14:$V$57,'RESULTAT FFBSPORTIF'!F$1,0))</f>
        <v/>
      </c>
      <c r="G37" s="77" t="str">
        <f>IF(B37="","",VLOOKUP($B37,'FEUILLE DE RESULTATS'!$N$14:$V$57,'RESULTAT FFBSPORTIF'!G$1,0))</f>
        <v/>
      </c>
      <c r="H37" s="72" t="str">
        <f>IF(B37="","",VLOOKUP($B37,'FEUILLE DE RESULTATS'!$N$14:$V$57,'RESULTAT FFBSPORTIF'!H$1,0))</f>
        <v/>
      </c>
      <c r="I37" s="76" t="str">
        <f>IF(B37="","",VLOOKUP($B37,'FEUILLE DE RESULTATS'!$N$14:$V$57,'RESULTAT FFBSPORTIF'!I$1,0))</f>
        <v/>
      </c>
    </row>
    <row r="38" spans="1:9" ht="12" customHeight="1" thickBot="1" x14ac:dyDescent="0.3">
      <c r="A38" s="90">
        <v>23</v>
      </c>
      <c r="B38" s="90" t="str">
        <f t="shared" si="0"/>
        <v/>
      </c>
      <c r="C38" s="69" t="str">
        <f>IF(B38="","",VLOOKUP($B38,'FEUILLE DE RESULTATS'!$N$14:$V$57,'RESULTAT FFBSPORTIF'!C$1,0))</f>
        <v/>
      </c>
      <c r="D38" s="70" t="str">
        <f>IF(B38="","",VLOOKUP($B38,'FEUILLE DE RESULTATS'!$N$14:$V$57,'RESULTAT FFBSPORTIF'!D$1,0))</f>
        <v/>
      </c>
      <c r="E38" s="73" t="str">
        <f>IF(B38="","",VLOOKUP($B38,'FEUILLE DE RESULTATS'!$N$14:$V$57,'RESULTAT FFBSPORTIF'!E$1,0))</f>
        <v/>
      </c>
      <c r="F38" s="74" t="str">
        <f>IF(B38="","",VLOOKUP($B38,'FEUILLE DE RESULTATS'!$N$14:$V$57,'RESULTAT FFBSPORTIF'!F$1,0))</f>
        <v/>
      </c>
      <c r="G38" s="70"/>
      <c r="H38" s="70"/>
      <c r="I38" s="75"/>
    </row>
    <row r="39" spans="1:9" ht="12" customHeight="1" thickBot="1" x14ac:dyDescent="0.3">
      <c r="A39" s="90">
        <v>24</v>
      </c>
      <c r="B39" s="90" t="str">
        <f t="shared" si="0"/>
        <v/>
      </c>
      <c r="C39" s="71"/>
      <c r="D39" s="72" t="str">
        <f>IF(B39="","",VLOOKUP($B39,'FEUILLE DE RESULTATS'!$N$14:$V$57,'RESULTAT FFBSPORTIF'!D$1,0))</f>
        <v/>
      </c>
      <c r="E39" s="76" t="str">
        <f>IF(B39="","",VLOOKUP($B39,'FEUILLE DE RESULTATS'!$N$14:$V$57,'RESULTAT FFBSPORTIF'!E$1,0))</f>
        <v/>
      </c>
      <c r="F39" s="76" t="str">
        <f>IF(B39="","",VLOOKUP($B39,'FEUILLE DE RESULTATS'!$N$14:$V$57,'RESULTAT FFBSPORTIF'!F$1,0))</f>
        <v/>
      </c>
      <c r="G39" s="77" t="str">
        <f>IF(B39="","",VLOOKUP($B39,'FEUILLE DE RESULTATS'!$N$14:$V$57,'RESULTAT FFBSPORTIF'!G$1,0))</f>
        <v/>
      </c>
      <c r="H39" s="72" t="str">
        <f>IF(B39="","",VLOOKUP($B39,'FEUILLE DE RESULTATS'!$N$14:$V$57,'RESULTAT FFBSPORTIF'!H$1,0))</f>
        <v/>
      </c>
      <c r="I39" s="76" t="str">
        <f>IF(B39="","",VLOOKUP($B39,'FEUILLE DE RESULTATS'!$N$14:$V$57,'RESULTAT FFBSPORTIF'!I$1,0))</f>
        <v/>
      </c>
    </row>
    <row r="40" spans="1:9" ht="12" customHeight="1" thickBot="1" x14ac:dyDescent="0.3">
      <c r="A40" s="90"/>
      <c r="B40" s="90">
        <f>IFERROR(B36+B37+B38+B39,0)</f>
        <v>0</v>
      </c>
    </row>
    <row r="41" spans="1:9" ht="12" customHeight="1" thickBot="1" x14ac:dyDescent="0.3">
      <c r="A41" s="90">
        <v>25</v>
      </c>
      <c r="B41" s="90" t="str">
        <f t="shared" si="0"/>
        <v/>
      </c>
      <c r="C41" s="69" t="str">
        <f>IF(B41="","",VLOOKUP($B41,'FEUILLE DE RESULTATS'!$N$14:$V$57,'RESULTAT FFBSPORTIF'!C$1,0))</f>
        <v/>
      </c>
      <c r="D41" s="70" t="str">
        <f>IF(B41="","",VLOOKUP($B41,'FEUILLE DE RESULTATS'!$N$14:$V$57,'RESULTAT FFBSPORTIF'!D$1,0))</f>
        <v/>
      </c>
      <c r="E41" s="73" t="str">
        <f>IF(B41="","",VLOOKUP($B41,'FEUILLE DE RESULTATS'!$N$14:$V$57,'RESULTAT FFBSPORTIF'!E$1,0))</f>
        <v/>
      </c>
      <c r="F41" s="74" t="str">
        <f>IF(B41="","",VLOOKUP($B41,'FEUILLE DE RESULTATS'!$N$14:$V$57,'RESULTAT FFBSPORTIF'!F$1,0))</f>
        <v/>
      </c>
      <c r="G41" s="70"/>
      <c r="H41" s="70"/>
      <c r="I41" s="75"/>
    </row>
    <row r="42" spans="1:9" ht="12" customHeight="1" thickBot="1" x14ac:dyDescent="0.3">
      <c r="A42" s="90">
        <v>26</v>
      </c>
      <c r="B42" s="90" t="str">
        <f t="shared" si="0"/>
        <v/>
      </c>
      <c r="C42" s="71"/>
      <c r="D42" s="72" t="str">
        <f>IF(B42="","",VLOOKUP($B42,'FEUILLE DE RESULTATS'!$N$14:$V$57,'RESULTAT FFBSPORTIF'!D$1,0))</f>
        <v/>
      </c>
      <c r="E42" s="73" t="str">
        <f>IF(B42="","",VLOOKUP($B42,'FEUILLE DE RESULTATS'!$N$14:$V$57,'RESULTAT FFBSPORTIF'!E$1,0))</f>
        <v/>
      </c>
      <c r="F42" s="80" t="str">
        <f>IF(B42="","",VLOOKUP($B42,'FEUILLE DE RESULTATS'!$N$14:$V$57,'RESULTAT FFBSPORTIF'!F$1,0))</f>
        <v/>
      </c>
      <c r="G42" s="77" t="str">
        <f>IF(B42="","",VLOOKUP($B42,'FEUILLE DE RESULTATS'!$N$14:$V$57,'RESULTAT FFBSPORTIF'!G$1,0))</f>
        <v/>
      </c>
      <c r="H42" s="72" t="str">
        <f>IF(B42="","",VLOOKUP($B42,'FEUILLE DE RESULTATS'!$N$14:$V$57,'RESULTAT FFBSPORTIF'!H$1,0))</f>
        <v/>
      </c>
      <c r="I42" s="76" t="str">
        <f>IF(B42="","",VLOOKUP($B42,'FEUILLE DE RESULTATS'!$N$14:$V$57,'RESULTAT FFBSPORTIF'!I$1,0))</f>
        <v/>
      </c>
    </row>
    <row r="43" spans="1:9" ht="12" customHeight="1" thickBot="1" x14ac:dyDescent="0.3">
      <c r="A43" s="90">
        <v>27</v>
      </c>
      <c r="B43" s="90" t="str">
        <f t="shared" si="0"/>
        <v/>
      </c>
      <c r="C43" s="69" t="str">
        <f>IF(B43="","",VLOOKUP($B43,'FEUILLE DE RESULTATS'!$N$14:$V$57,'RESULTAT FFBSPORTIF'!C$1,0))</f>
        <v/>
      </c>
      <c r="D43" s="70" t="str">
        <f>IF(B43="","",VLOOKUP($B43,'FEUILLE DE RESULTATS'!$N$14:$V$57,'RESULTAT FFBSPORTIF'!D$1,0))</f>
        <v/>
      </c>
      <c r="E43" s="73" t="str">
        <f>IF(B43="","",VLOOKUP($B43,'FEUILLE DE RESULTATS'!$N$14:$V$57,'RESULTAT FFBSPORTIF'!E$1,0))</f>
        <v/>
      </c>
      <c r="F43" s="74" t="str">
        <f>IF(B43="","",VLOOKUP($B43,'FEUILLE DE RESULTATS'!$N$14:$V$57,'RESULTAT FFBSPORTIF'!F$1,0))</f>
        <v/>
      </c>
      <c r="G43" s="70"/>
      <c r="H43" s="70"/>
      <c r="I43" s="75"/>
    </row>
    <row r="44" spans="1:9" ht="12" customHeight="1" thickBot="1" x14ac:dyDescent="0.3">
      <c r="A44" s="90">
        <v>28</v>
      </c>
      <c r="B44" s="90" t="str">
        <f t="shared" si="0"/>
        <v/>
      </c>
      <c r="C44" s="71"/>
      <c r="D44" s="72" t="str">
        <f>IF(B44="","",VLOOKUP($B44,'FEUILLE DE RESULTATS'!$N$14:$V$57,'RESULTAT FFBSPORTIF'!D$1,0))</f>
        <v/>
      </c>
      <c r="E44" s="76" t="str">
        <f>IF(B44="","",VLOOKUP($B44,'FEUILLE DE RESULTATS'!$N$14:$V$57,'RESULTAT FFBSPORTIF'!E$1,0))</f>
        <v/>
      </c>
      <c r="F44" s="76" t="str">
        <f>IF(B44="","",VLOOKUP($B44,'FEUILLE DE RESULTATS'!$N$14:$V$57,'RESULTAT FFBSPORTIF'!F$1,0))</f>
        <v/>
      </c>
      <c r="G44" s="77" t="str">
        <f>IF(B44="","",VLOOKUP($B44,'FEUILLE DE RESULTATS'!$N$14:$V$57,'RESULTAT FFBSPORTIF'!G$1,0))</f>
        <v/>
      </c>
      <c r="H44" s="72" t="str">
        <f>IF(B44="","",VLOOKUP($B44,'FEUILLE DE RESULTATS'!$N$14:$V$57,'RESULTAT FFBSPORTIF'!H$1,0))</f>
        <v/>
      </c>
      <c r="I44" s="76" t="str">
        <f>IF(B44="","",VLOOKUP($B44,'FEUILLE DE RESULTATS'!$N$14:$V$57,'RESULTAT FFBSPORTIF'!I$1,0))</f>
        <v/>
      </c>
    </row>
    <row r="45" spans="1:9" ht="12" customHeight="1" thickBot="1" x14ac:dyDescent="0.3">
      <c r="A45" s="90"/>
      <c r="B45" s="90">
        <f>IFERROR(B41+B42+B43+B44,0)</f>
        <v>0</v>
      </c>
    </row>
    <row r="46" spans="1:9" ht="12" customHeight="1" thickBot="1" x14ac:dyDescent="0.3">
      <c r="A46" s="90">
        <v>29</v>
      </c>
      <c r="B46" s="90" t="str">
        <f t="shared" si="0"/>
        <v/>
      </c>
      <c r="C46" s="69" t="str">
        <f>IF(B46="","",VLOOKUP($B46,'FEUILLE DE RESULTATS'!$N$14:$V$57,'RESULTAT FFBSPORTIF'!C$1,0))</f>
        <v/>
      </c>
      <c r="D46" s="70" t="str">
        <f>IF(B46="","",VLOOKUP($B46,'FEUILLE DE RESULTATS'!$N$14:$V$57,'RESULTAT FFBSPORTIF'!D$1,0))</f>
        <v/>
      </c>
      <c r="E46" s="73" t="str">
        <f>IF(B46="","",VLOOKUP($B46,'FEUILLE DE RESULTATS'!$N$14:$V$57,'RESULTAT FFBSPORTIF'!E$1,0))</f>
        <v/>
      </c>
      <c r="F46" s="74" t="str">
        <f>IF(B46="","",VLOOKUP($B46,'FEUILLE DE RESULTATS'!$N$14:$V$57,'RESULTAT FFBSPORTIF'!F$1,0))</f>
        <v/>
      </c>
      <c r="G46" s="70"/>
      <c r="H46" s="70"/>
      <c r="I46" s="75"/>
    </row>
    <row r="47" spans="1:9" ht="12" customHeight="1" thickBot="1" x14ac:dyDescent="0.3">
      <c r="A47" s="90">
        <v>30</v>
      </c>
      <c r="B47" s="90" t="str">
        <f t="shared" si="0"/>
        <v/>
      </c>
      <c r="C47" s="71"/>
      <c r="D47" s="72" t="str">
        <f>IF(B47="","",VLOOKUP($B47,'FEUILLE DE RESULTATS'!$N$14:$V$57,'RESULTAT FFBSPORTIF'!D$1,0))</f>
        <v/>
      </c>
      <c r="E47" s="73" t="str">
        <f>IF(B47="","",VLOOKUP($B47,'FEUILLE DE RESULTATS'!$N$14:$V$57,'RESULTAT FFBSPORTIF'!E$1,0))</f>
        <v/>
      </c>
      <c r="F47" s="80" t="str">
        <f>IF(B47="","",VLOOKUP($B47,'FEUILLE DE RESULTATS'!$N$14:$V$57,'RESULTAT FFBSPORTIF'!F$1,0))</f>
        <v/>
      </c>
      <c r="G47" s="77" t="str">
        <f>IF(B47="","",VLOOKUP($B47,'FEUILLE DE RESULTATS'!$N$14:$V$57,'RESULTAT FFBSPORTIF'!G$1,0))</f>
        <v/>
      </c>
      <c r="H47" s="72" t="str">
        <f>IF(B47="","",VLOOKUP($B47,'FEUILLE DE RESULTATS'!$N$14:$V$57,'RESULTAT FFBSPORTIF'!H$1,0))</f>
        <v/>
      </c>
      <c r="I47" s="76" t="str">
        <f>IF(B47="","",VLOOKUP($B47,'FEUILLE DE RESULTATS'!$N$14:$V$57,'RESULTAT FFBSPORTIF'!I$1,0))</f>
        <v/>
      </c>
    </row>
    <row r="48" spans="1:9" ht="12" customHeight="1" thickBot="1" x14ac:dyDescent="0.3">
      <c r="A48" s="90">
        <v>31</v>
      </c>
      <c r="B48" s="90" t="str">
        <f t="shared" si="0"/>
        <v/>
      </c>
      <c r="C48" s="69" t="str">
        <f>IF(B48="","",VLOOKUP($B48,'FEUILLE DE RESULTATS'!$N$14:$V$57,'RESULTAT FFBSPORTIF'!C$1,0))</f>
        <v/>
      </c>
      <c r="D48" s="70" t="str">
        <f>IF(B48="","",VLOOKUP($B48,'FEUILLE DE RESULTATS'!$N$14:$V$57,'RESULTAT FFBSPORTIF'!D$1,0))</f>
        <v/>
      </c>
      <c r="E48" s="73" t="str">
        <f>IF(B48="","",VLOOKUP($B48,'FEUILLE DE RESULTATS'!$N$14:$V$57,'RESULTAT FFBSPORTIF'!E$1,0))</f>
        <v/>
      </c>
      <c r="F48" s="74" t="str">
        <f>IF(B48="","",VLOOKUP($B48,'FEUILLE DE RESULTATS'!$N$14:$V$57,'RESULTAT FFBSPORTIF'!F$1,0))</f>
        <v/>
      </c>
      <c r="G48" s="70"/>
      <c r="H48" s="70"/>
      <c r="I48" s="75"/>
    </row>
    <row r="49" spans="1:9" ht="12" customHeight="1" thickBot="1" x14ac:dyDescent="0.3">
      <c r="A49" s="90">
        <v>32</v>
      </c>
      <c r="B49" s="90" t="str">
        <f t="shared" si="0"/>
        <v/>
      </c>
      <c r="C49" s="71"/>
      <c r="D49" s="72" t="str">
        <f>IF(B49="","",VLOOKUP($B49,'FEUILLE DE RESULTATS'!$N$14:$V$57,'RESULTAT FFBSPORTIF'!D$1,0))</f>
        <v/>
      </c>
      <c r="E49" s="76" t="str">
        <f>IF(B49="","",VLOOKUP($B49,'FEUILLE DE RESULTATS'!$N$14:$V$57,'RESULTAT FFBSPORTIF'!E$1,0))</f>
        <v/>
      </c>
      <c r="F49" s="76" t="str">
        <f>IF(B49="","",VLOOKUP($B49,'FEUILLE DE RESULTATS'!$N$14:$V$57,'RESULTAT FFBSPORTIF'!F$1,0))</f>
        <v/>
      </c>
      <c r="G49" s="77" t="str">
        <f>IF(B49="","",VLOOKUP($B49,'FEUILLE DE RESULTATS'!$N$14:$V$57,'RESULTAT FFBSPORTIF'!G$1,0))</f>
        <v/>
      </c>
      <c r="H49" s="72" t="str">
        <f>IF(B49="","",VLOOKUP($B49,'FEUILLE DE RESULTATS'!$N$14:$V$57,'RESULTAT FFBSPORTIF'!H$1,0))</f>
        <v/>
      </c>
      <c r="I49" s="76" t="str">
        <f>IF(B49="","",VLOOKUP($B49,'FEUILLE DE RESULTATS'!$N$14:$V$57,'RESULTAT FFBSPORTIF'!I$1,0))</f>
        <v/>
      </c>
    </row>
    <row r="50" spans="1:9" ht="12" customHeight="1" thickBot="1" x14ac:dyDescent="0.3">
      <c r="A50" s="90"/>
      <c r="B50" s="90">
        <f>IFERROR(B46+B47+B48+B49,0)</f>
        <v>0</v>
      </c>
    </row>
    <row r="51" spans="1:9" ht="12" customHeight="1" thickBot="1" x14ac:dyDescent="0.3">
      <c r="A51" s="90">
        <v>33</v>
      </c>
      <c r="B51" s="90" t="str">
        <f t="shared" si="0"/>
        <v/>
      </c>
      <c r="C51" s="69" t="str">
        <f>IF(B51="","",VLOOKUP($B51,'FEUILLE DE RESULTATS'!$N$14:$V$57,'RESULTAT FFBSPORTIF'!C$1,0))</f>
        <v/>
      </c>
      <c r="D51" s="70" t="str">
        <f>IF(B51="","",VLOOKUP($B51,'FEUILLE DE RESULTATS'!$N$14:$V$57,'RESULTAT FFBSPORTIF'!D$1,0))</f>
        <v/>
      </c>
      <c r="E51" s="73" t="str">
        <f>IF(B51="","",VLOOKUP($B51,'FEUILLE DE RESULTATS'!$N$14:$V$57,'RESULTAT FFBSPORTIF'!E$1,0))</f>
        <v/>
      </c>
      <c r="F51" s="74" t="str">
        <f>IF(B51="","",VLOOKUP($B51,'FEUILLE DE RESULTATS'!$N$14:$V$57,'RESULTAT FFBSPORTIF'!F$1,0))</f>
        <v/>
      </c>
      <c r="G51" s="70"/>
      <c r="H51" s="70"/>
      <c r="I51" s="75"/>
    </row>
    <row r="52" spans="1:9" ht="12" customHeight="1" thickBot="1" x14ac:dyDescent="0.3">
      <c r="A52" s="90">
        <v>34</v>
      </c>
      <c r="B52" s="90" t="str">
        <f t="shared" si="0"/>
        <v/>
      </c>
      <c r="C52" s="71"/>
      <c r="D52" s="72" t="str">
        <f>IF(B52="","",VLOOKUP($B52,'FEUILLE DE RESULTATS'!$N$14:$V$57,'RESULTAT FFBSPORTIF'!D$1,0))</f>
        <v/>
      </c>
      <c r="E52" s="73" t="str">
        <f>IF(B52="","",VLOOKUP($B52,'FEUILLE DE RESULTATS'!$N$14:$V$57,'RESULTAT FFBSPORTIF'!E$1,0))</f>
        <v/>
      </c>
      <c r="F52" s="80" t="str">
        <f>IF(B52="","",VLOOKUP($B52,'FEUILLE DE RESULTATS'!$N$14:$V$57,'RESULTAT FFBSPORTIF'!F$1,0))</f>
        <v/>
      </c>
      <c r="G52" s="77" t="str">
        <f>IF(B52="","",VLOOKUP($B52,'FEUILLE DE RESULTATS'!$N$14:$V$57,'RESULTAT FFBSPORTIF'!G$1,0))</f>
        <v/>
      </c>
      <c r="H52" s="72" t="str">
        <f>IF(B52="","",VLOOKUP($B52,'FEUILLE DE RESULTATS'!$N$14:$V$57,'RESULTAT FFBSPORTIF'!H$1,0))</f>
        <v/>
      </c>
      <c r="I52" s="76" t="str">
        <f>IF(B52="","",VLOOKUP($B52,'FEUILLE DE RESULTATS'!$N$14:$V$57,'RESULTAT FFBSPORTIF'!I$1,0))</f>
        <v/>
      </c>
    </row>
    <row r="53" spans="1:9" ht="12" customHeight="1" thickBot="1" x14ac:dyDescent="0.3">
      <c r="A53" s="90">
        <v>35</v>
      </c>
      <c r="B53" s="90" t="str">
        <f t="shared" si="0"/>
        <v/>
      </c>
      <c r="C53" s="69" t="str">
        <f>IF(B53="","",VLOOKUP($B53,'FEUILLE DE RESULTATS'!$N$14:$V$57,'RESULTAT FFBSPORTIF'!C$1,0))</f>
        <v/>
      </c>
      <c r="D53" s="70" t="str">
        <f>IF(B53="","",VLOOKUP($B53,'FEUILLE DE RESULTATS'!$N$14:$V$57,'RESULTAT FFBSPORTIF'!D$1,0))</f>
        <v/>
      </c>
      <c r="E53" s="73" t="str">
        <f>IF(B53="","",VLOOKUP($B53,'FEUILLE DE RESULTATS'!$N$14:$V$57,'RESULTAT FFBSPORTIF'!E$1,0))</f>
        <v/>
      </c>
      <c r="F53" s="74" t="str">
        <f>IF(B53="","",VLOOKUP($B53,'FEUILLE DE RESULTATS'!$N$14:$V$57,'RESULTAT FFBSPORTIF'!F$1,0))</f>
        <v/>
      </c>
      <c r="G53" s="70"/>
      <c r="H53" s="70"/>
      <c r="I53" s="75"/>
    </row>
    <row r="54" spans="1:9" ht="12" customHeight="1" thickBot="1" x14ac:dyDescent="0.3">
      <c r="A54" s="90">
        <v>36</v>
      </c>
      <c r="B54" s="90" t="str">
        <f t="shared" si="0"/>
        <v/>
      </c>
      <c r="C54" s="71"/>
      <c r="D54" s="72" t="str">
        <f>IF(B54="","",VLOOKUP($B54,'FEUILLE DE RESULTATS'!$N$14:$V$57,'RESULTAT FFBSPORTIF'!D$1,0))</f>
        <v/>
      </c>
      <c r="E54" s="76" t="str">
        <f>IF(B54="","",VLOOKUP($B54,'FEUILLE DE RESULTATS'!$N$14:$V$57,'RESULTAT FFBSPORTIF'!E$1,0))</f>
        <v/>
      </c>
      <c r="F54" s="76" t="str">
        <f>IF(B54="","",VLOOKUP($B54,'FEUILLE DE RESULTATS'!$N$14:$V$57,'RESULTAT FFBSPORTIF'!F$1,0))</f>
        <v/>
      </c>
      <c r="G54" s="77" t="str">
        <f>IF(B54="","",VLOOKUP($B54,'FEUILLE DE RESULTATS'!$N$14:$V$57,'RESULTAT FFBSPORTIF'!G$1,0))</f>
        <v/>
      </c>
      <c r="H54" s="72" t="str">
        <f>IF(B54="","",VLOOKUP($B54,'FEUILLE DE RESULTATS'!$N$14:$V$57,'RESULTAT FFBSPORTIF'!H$1,0))</f>
        <v/>
      </c>
      <c r="I54" s="76" t="str">
        <f>IF(B54="","",VLOOKUP($B54,'FEUILLE DE RESULTATS'!$N$14:$V$57,'RESULTAT FFBSPORTIF'!I$1,0))</f>
        <v/>
      </c>
    </row>
    <row r="55" spans="1:9" ht="12" customHeight="1" x14ac:dyDescent="0.25">
      <c r="A55" s="90"/>
      <c r="B55" s="90">
        <f>IFERROR(B51+B52+B53+B54,0)</f>
        <v>0</v>
      </c>
    </row>
  </sheetData>
  <sheetProtection algorithmName="SHA-512" hashValue="AM3KYziqNXYI4StoUmMDVFsA204U50VVcVnp+zy4EkUaYTnrgkF+xMfpK2EH73uXGkpXRc3BWeUA9iibzaCILA==" saltValue="/fBT8nEsuSl1NWeJ4Y7piw==" spinCount="100000" sheet="1" objects="1" scenarios="1" selectLockedCells="1"/>
  <mergeCells count="2">
    <mergeCell ref="C2:I5"/>
    <mergeCell ref="F9:G9"/>
  </mergeCells>
  <conditionalFormatting sqref="C11:I14">
    <cfRule type="expression" dxfId="12" priority="5">
      <formula>$B$15=0</formula>
    </cfRule>
  </conditionalFormatting>
  <conditionalFormatting sqref="C16:I19">
    <cfRule type="expression" dxfId="11" priority="6">
      <formula>$B$20=0</formula>
    </cfRule>
  </conditionalFormatting>
  <conditionalFormatting sqref="C21:I24">
    <cfRule type="expression" dxfId="10" priority="7">
      <formula>$B$25=0</formula>
    </cfRule>
  </conditionalFormatting>
  <conditionalFormatting sqref="C26:I29">
    <cfRule type="expression" dxfId="9" priority="8">
      <formula>$B$30=0</formula>
    </cfRule>
  </conditionalFormatting>
  <conditionalFormatting sqref="C31:I34">
    <cfRule type="expression" dxfId="8" priority="9">
      <formula>$B$35=0</formula>
    </cfRule>
  </conditionalFormatting>
  <conditionalFormatting sqref="C36:I39">
    <cfRule type="expression" dxfId="7" priority="10">
      <formula>$B$40=0</formula>
    </cfRule>
  </conditionalFormatting>
  <conditionalFormatting sqref="C41:I44">
    <cfRule type="expression" dxfId="6" priority="11">
      <formula>$B$45=0</formula>
    </cfRule>
  </conditionalFormatting>
  <conditionalFormatting sqref="C46:I49">
    <cfRule type="expression" dxfId="5" priority="12">
      <formula>$B$50=0</formula>
    </cfRule>
  </conditionalFormatting>
  <conditionalFormatting sqref="C51:I54">
    <cfRule type="expression" dxfId="4" priority="13">
      <formula>$B$55=0</formula>
    </cfRule>
  </conditionalFormatting>
  <conditionalFormatting sqref="E11:E14">
    <cfRule type="notContainsBlanks" dxfId="3" priority="16">
      <formula>LEN(TRIM(E11))&gt;0</formula>
    </cfRule>
  </conditionalFormatting>
  <conditionalFormatting sqref="E16:E19 F17:G17 I17 F19:G19 I19 E21:E24 F22:G22 I22 F24:G24 I24 E26:E29 F27:G27 I27 F29:G29 I29 E31:E34 F32:G32 I32 F34:G34 I34 E36:E39 F37:G37 I37 F39:G39 I39">
    <cfRule type="notContainsBlanks" dxfId="2" priority="15">
      <formula>LEN(TRIM(E16))&gt;0</formula>
    </cfRule>
  </conditionalFormatting>
  <conditionalFormatting sqref="E41:E44 F42:G42 I42 F44:G44 I44 E46:E49 F47:G47 I47 F49:G49 I49 E51:E54 F52:G52 I52 F54:G54 I54">
    <cfRule type="notContainsBlanks" dxfId="1" priority="14">
      <formula>LEN(TRIM(E41))&gt;0</formula>
    </cfRule>
  </conditionalFormatting>
  <conditionalFormatting sqref="F12:G12 I12 F14:G14 I14">
    <cfRule type="notContainsBlanks" dxfId="0" priority="17">
      <formula>LEN(TRIM(F12))&gt;0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DN44"/>
  <sheetViews>
    <sheetView topLeftCell="A13" workbookViewId="0">
      <selection activeCell="L22" sqref="L22"/>
    </sheetView>
  </sheetViews>
  <sheetFormatPr baseColWidth="10" defaultRowHeight="15" x14ac:dyDescent="0.25"/>
  <cols>
    <col min="1" max="1" width="11.42578125" style="1"/>
    <col min="2" max="2" width="17.28515625" style="1" bestFit="1" customWidth="1"/>
    <col min="3" max="3" width="24" style="1" customWidth="1"/>
    <col min="4" max="4" width="14.42578125" style="1" customWidth="1"/>
    <col min="5" max="5" width="2.85546875" style="1" customWidth="1"/>
    <col min="6" max="6" width="2" style="1" bestFit="1" customWidth="1"/>
    <col min="7" max="7" width="19" style="1" bestFit="1" customWidth="1"/>
    <col min="8" max="8" width="2.140625" style="1" customWidth="1"/>
    <col min="9" max="9" width="19" style="1" bestFit="1" customWidth="1"/>
    <col min="10" max="10" width="4" style="1" bestFit="1" customWidth="1"/>
    <col min="11" max="11" width="6" style="1" bestFit="1" customWidth="1"/>
    <col min="12" max="12" width="11" style="1" customWidth="1"/>
    <col min="13" max="13" width="2" style="1" bestFit="1" customWidth="1"/>
    <col min="14" max="14" width="20.140625" style="1" bestFit="1" customWidth="1"/>
    <col min="15" max="15" width="2" style="1" bestFit="1" customWidth="1"/>
    <col min="16" max="16" width="20.140625" style="1" bestFit="1" customWidth="1"/>
    <col min="17" max="17" width="15.42578125" style="1" bestFit="1" customWidth="1"/>
    <col min="18" max="18" width="15.42578125" style="1" customWidth="1"/>
    <col min="19" max="19" width="21.42578125" style="1" customWidth="1"/>
    <col min="20" max="20" width="19" style="1" customWidth="1"/>
    <col min="21" max="21" width="2" style="1" bestFit="1" customWidth="1"/>
    <col min="22" max="22" width="5" style="1" bestFit="1" customWidth="1"/>
    <col min="23" max="23" width="2" style="1" bestFit="1" customWidth="1"/>
    <col min="24" max="24" width="5.7109375" style="1" customWidth="1"/>
    <col min="25" max="25" width="2" style="1" bestFit="1" customWidth="1"/>
    <col min="26" max="26" width="5" style="1" bestFit="1" customWidth="1"/>
    <col min="27" max="27" width="2.7109375" style="1" customWidth="1"/>
    <col min="28" max="28" width="5" style="1" bestFit="1" customWidth="1"/>
    <col min="29" max="29" width="2" style="1" bestFit="1" customWidth="1"/>
    <col min="30" max="30" width="5" style="1" bestFit="1" customWidth="1"/>
    <col min="31" max="31" width="2" style="1" bestFit="1" customWidth="1"/>
    <col min="32" max="32" width="5" style="1" bestFit="1" customWidth="1"/>
    <col min="33" max="33" width="2" style="1" bestFit="1" customWidth="1"/>
    <col min="34" max="34" width="5" style="1" customWidth="1"/>
    <col min="35" max="35" width="2" style="1" bestFit="1" customWidth="1"/>
    <col min="36" max="36" width="5" style="1" bestFit="1" customWidth="1"/>
    <col min="37" max="37" width="2" style="1" bestFit="1" customWidth="1"/>
    <col min="38" max="38" width="5" style="1" customWidth="1"/>
    <col min="39" max="39" width="2" style="1" bestFit="1" customWidth="1"/>
    <col min="40" max="40" width="5" style="1" customWidth="1"/>
    <col min="41" max="41" width="2" style="1" bestFit="1" customWidth="1"/>
    <col min="42" max="42" width="5" style="1" bestFit="1" customWidth="1"/>
    <col min="43" max="43" width="2" style="1" bestFit="1" customWidth="1"/>
    <col min="44" max="44" width="5.140625" style="1" customWidth="1"/>
    <col min="45" max="45" width="2" style="1" bestFit="1" customWidth="1"/>
    <col min="46" max="46" width="5" style="1" customWidth="1"/>
    <col min="47" max="47" width="2" style="1" bestFit="1" customWidth="1"/>
    <col min="48" max="48" width="5" style="1" customWidth="1"/>
    <col min="49" max="49" width="2" style="1" bestFit="1" customWidth="1"/>
    <col min="50" max="50" width="5" style="1" customWidth="1"/>
    <col min="51" max="51" width="2" style="1" bestFit="1" customWidth="1"/>
    <col min="52" max="52" width="5" style="1" customWidth="1"/>
    <col min="53" max="53" width="2" style="1" bestFit="1" customWidth="1"/>
    <col min="54" max="54" width="5" style="1" customWidth="1"/>
    <col min="55" max="55" width="2" style="1" bestFit="1" customWidth="1"/>
    <col min="56" max="56" width="5" style="1" bestFit="1" customWidth="1"/>
    <col min="57" max="57" width="2" style="1" bestFit="1" customWidth="1"/>
    <col min="58" max="58" width="5" style="1" bestFit="1" customWidth="1"/>
    <col min="59" max="59" width="2" style="1" bestFit="1" customWidth="1"/>
    <col min="60" max="60" width="5" style="1" bestFit="1" customWidth="1"/>
    <col min="61" max="61" width="2" style="1" customWidth="1"/>
    <col min="62" max="62" width="5" style="1" bestFit="1" customWidth="1"/>
    <col min="63" max="63" width="2" style="1" bestFit="1" customWidth="1"/>
    <col min="64" max="64" width="5" style="1" bestFit="1" customWidth="1"/>
    <col min="65" max="65" width="2" style="1" bestFit="1" customWidth="1"/>
    <col min="66" max="66" width="5.85546875" style="1" bestFit="1" customWidth="1"/>
    <col min="67" max="67" width="2" style="1" bestFit="1" customWidth="1"/>
    <col min="68" max="68" width="4" style="1" bestFit="1" customWidth="1"/>
    <col min="69" max="69" width="4" style="1" customWidth="1"/>
    <col min="70" max="70" width="5" style="1" bestFit="1" customWidth="1"/>
    <col min="71" max="71" width="2" bestFit="1" customWidth="1"/>
    <col min="72" max="72" width="5" bestFit="1" customWidth="1"/>
    <col min="73" max="73" width="2" bestFit="1" customWidth="1"/>
    <col min="74" max="74" width="4.7109375" customWidth="1"/>
    <col min="75" max="75" width="2" bestFit="1" customWidth="1"/>
    <col min="76" max="76" width="5" bestFit="1" customWidth="1"/>
    <col min="77" max="77" width="2" bestFit="1" customWidth="1"/>
    <col min="78" max="78" width="5" bestFit="1" customWidth="1"/>
    <col min="79" max="79" width="2" bestFit="1" customWidth="1"/>
    <col min="80" max="80" width="5" style="1" bestFit="1" customWidth="1"/>
    <col min="81" max="81" width="2" style="1" bestFit="1" customWidth="1"/>
    <col min="82" max="82" width="5" style="1" bestFit="1" customWidth="1"/>
    <col min="83" max="83" width="2" style="1" bestFit="1" customWidth="1"/>
    <col min="84" max="84" width="5" style="1" bestFit="1" customWidth="1"/>
    <col min="85" max="85" width="2" style="1" bestFit="1" customWidth="1"/>
    <col min="86" max="86" width="5" style="1" customWidth="1"/>
    <col min="87" max="87" width="2" style="1" bestFit="1" customWidth="1"/>
    <col min="88" max="88" width="5" style="1" bestFit="1" customWidth="1"/>
    <col min="89" max="89" width="2" style="1" bestFit="1" customWidth="1"/>
    <col min="90" max="90" width="5" style="1" bestFit="1" customWidth="1"/>
    <col min="91" max="91" width="2" style="1" bestFit="1" customWidth="1"/>
    <col min="92" max="92" width="5" style="1" customWidth="1"/>
    <col min="93" max="93" width="2" style="1" bestFit="1" customWidth="1"/>
    <col min="94" max="94" width="5" style="1" customWidth="1"/>
    <col min="95" max="95" width="2" style="1" bestFit="1" customWidth="1"/>
    <col min="96" max="96" width="5" style="1" customWidth="1"/>
    <col min="97" max="97" width="2" style="1" bestFit="1" customWidth="1"/>
    <col min="98" max="98" width="5" style="1" customWidth="1"/>
    <col min="99" max="99" width="2" style="1" bestFit="1" customWidth="1"/>
    <col min="100" max="100" width="5" style="1" bestFit="1" customWidth="1"/>
    <col min="101" max="101" width="2" style="1" bestFit="1" customWidth="1"/>
    <col min="102" max="102" width="5" style="1" bestFit="1" customWidth="1"/>
    <col min="103" max="103" width="2.85546875" style="1" customWidth="1"/>
    <col min="104" max="104" width="5" style="1" customWidth="1"/>
    <col min="105" max="105" width="2.42578125" style="1" customWidth="1"/>
    <col min="106" max="106" width="5" style="1" customWidth="1"/>
    <col min="107" max="107" width="2.85546875" style="1" customWidth="1"/>
    <col min="108" max="108" width="5" style="1" customWidth="1"/>
    <col min="109" max="109" width="2" style="1" bestFit="1" customWidth="1"/>
    <col min="110" max="110" width="5" style="1" bestFit="1" customWidth="1"/>
    <col min="111" max="111" width="2.42578125" style="1" customWidth="1"/>
    <col min="112" max="112" width="5" style="1" customWidth="1"/>
    <col min="113" max="113" width="2" style="1" bestFit="1" customWidth="1"/>
    <col min="114" max="114" width="5" style="1" bestFit="1" customWidth="1"/>
    <col min="115" max="115" width="2" style="1" bestFit="1" customWidth="1"/>
    <col min="116" max="116" width="5" style="1" bestFit="1" customWidth="1"/>
    <col min="117" max="117" width="2" style="1" bestFit="1" customWidth="1"/>
    <col min="118" max="118" width="5" style="1" bestFit="1" customWidth="1"/>
    <col min="119" max="16384" width="11.42578125" style="1"/>
  </cols>
  <sheetData>
    <row r="1" spans="1:112" ht="15.75" thickBot="1" x14ac:dyDescent="0.3">
      <c r="A1" s="25">
        <f>A7+A10+A13</f>
        <v>9</v>
      </c>
      <c r="V1" s="1">
        <f>HLOOKUP($Z$2,$V$35:$DN$38,2,0)</f>
        <v>3</v>
      </c>
      <c r="W1" s="1">
        <f>HLOOKUP($Z$2,$V$35:$DN$38,3,0)</f>
        <v>3</v>
      </c>
      <c r="X1" s="1">
        <f>HLOOKUP($Z$2,$V$35:$DN$38,4,0)</f>
        <v>3</v>
      </c>
      <c r="Z1" s="1" t="str">
        <f>V1&amp;W1&amp;X1</f>
        <v>333</v>
      </c>
      <c r="AJ1" s="1" t="str">
        <f t="shared" ref="AJ1:AJ9" si="0">H26</f>
        <v/>
      </c>
      <c r="AK1" s="30" t="str">
        <f t="shared" ref="AK1:AK9" si="1">I26</f>
        <v/>
      </c>
    </row>
    <row r="2" spans="1:112" x14ac:dyDescent="0.25">
      <c r="B2" s="3" t="s">
        <v>61</v>
      </c>
      <c r="C2" s="32">
        <f>C22</f>
        <v>0</v>
      </c>
      <c r="V2" s="1">
        <f>A7</f>
        <v>3</v>
      </c>
      <c r="W2" s="1">
        <f>A10</f>
        <v>3</v>
      </c>
      <c r="X2" s="1">
        <f>A13</f>
        <v>3</v>
      </c>
      <c r="Y2" s="1">
        <f>V2+W2+X2</f>
        <v>9</v>
      </c>
      <c r="Z2" s="1" t="str">
        <f>V2&amp;W2&amp;X2</f>
        <v>333</v>
      </c>
      <c r="AA2" s="30" t="str">
        <f>IFERROR(VLOOKUP(Z2,Z4:AA16,2,0),AA16)</f>
        <v>Aucune</v>
      </c>
      <c r="AJ2" s="1" t="str">
        <f t="shared" si="0"/>
        <v/>
      </c>
      <c r="AK2" s="30" t="str">
        <f t="shared" si="1"/>
        <v/>
      </c>
    </row>
    <row r="3" spans="1:112" x14ac:dyDescent="0.25">
      <c r="B3" s="3" t="s">
        <v>62</v>
      </c>
      <c r="C3" s="33">
        <f>C23</f>
        <v>0</v>
      </c>
      <c r="H3" s="25" t="str">
        <f>A6</f>
        <v>POULE 1</v>
      </c>
      <c r="I3" s="25" t="str">
        <f>A9</f>
        <v>POULE 2</v>
      </c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 t="str">
        <f>A12</f>
        <v>POULE 3</v>
      </c>
      <c r="AA3" s="30"/>
      <c r="AJ3" s="1" t="str">
        <f t="shared" si="0"/>
        <v/>
      </c>
      <c r="AK3" s="30" t="str">
        <f t="shared" si="1"/>
        <v/>
      </c>
    </row>
    <row r="4" spans="1:112" x14ac:dyDescent="0.25">
      <c r="B4" s="3" t="s">
        <v>63</v>
      </c>
      <c r="C4" s="34" t="str">
        <f>C24</f>
        <v>5 Quilles N1</v>
      </c>
      <c r="H4" s="25" t="e">
        <f>IF(C6="","",C6)</f>
        <v>#N/A</v>
      </c>
      <c r="I4" s="25" t="e">
        <f>IF(C9="","",C9)</f>
        <v>#N/A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 t="e">
        <f>IF(C12="","",C12)</f>
        <v>#N/A</v>
      </c>
      <c r="V4" s="1">
        <v>3</v>
      </c>
      <c r="W4" s="1">
        <v>3</v>
      </c>
      <c r="X4" s="1">
        <v>3</v>
      </c>
      <c r="Y4" s="1">
        <f>V4+W4+X4</f>
        <v>9</v>
      </c>
      <c r="Z4" s="1" t="str">
        <f>V4&amp;W4&amp;X4</f>
        <v>333</v>
      </c>
      <c r="AA4" s="30" t="str">
        <f>U8</f>
        <v>Aucune</v>
      </c>
      <c r="AJ4" s="1" t="str">
        <f t="shared" si="0"/>
        <v/>
      </c>
      <c r="AK4" s="30" t="str">
        <f t="shared" si="1"/>
        <v/>
      </c>
    </row>
    <row r="5" spans="1:112" ht="15.75" thickBot="1" x14ac:dyDescent="0.3">
      <c r="B5" s="1" t="s">
        <v>122</v>
      </c>
      <c r="C5" s="35" t="str">
        <f>C25</f>
        <v>2 Sets Gagnants 60 pts</v>
      </c>
      <c r="D5"/>
      <c r="H5" s="25" t="e">
        <f>IF(C7="","",C7)</f>
        <v>#N/A</v>
      </c>
      <c r="I5" s="25" t="e">
        <f>IF(C10="","",C10)</f>
        <v>#N/A</v>
      </c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 t="e">
        <f>IF(C13="","",C13)</f>
        <v>#N/A</v>
      </c>
      <c r="V5" s="1">
        <v>3</v>
      </c>
      <c r="W5" s="1">
        <v>3</v>
      </c>
      <c r="X5" s="1">
        <v>2</v>
      </c>
      <c r="Y5" s="1">
        <f t="shared" ref="Y5:Y12" si="2">V5+W5+X5</f>
        <v>8</v>
      </c>
      <c r="Z5" s="1" t="str">
        <f>V5&amp;W5&amp;X5</f>
        <v>332</v>
      </c>
      <c r="AA5" s="30" t="str">
        <f>U10</f>
        <v>2 et 3</v>
      </c>
      <c r="AJ5" s="1" t="str">
        <f t="shared" si="0"/>
        <v/>
      </c>
      <c r="AK5" s="30" t="str">
        <f t="shared" si="1"/>
        <v/>
      </c>
    </row>
    <row r="6" spans="1:112" x14ac:dyDescent="0.25">
      <c r="A6" s="3" t="s">
        <v>64</v>
      </c>
      <c r="B6" s="3" t="s">
        <v>66</v>
      </c>
      <c r="C6" s="36" t="e">
        <f>IF(E37&lt;1,"",I36)</f>
        <v>#N/A</v>
      </c>
      <c r="D6" s="24">
        <f>COUNTA(C6:C8)</f>
        <v>3</v>
      </c>
      <c r="H6" s="25" t="e">
        <f>IF(C8="","",C8)</f>
        <v>#N/A</v>
      </c>
      <c r="I6" s="25" t="e">
        <f>IF(C11="","",C11)</f>
        <v>#N/A</v>
      </c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 t="e">
        <f>IF(C14="","",C14)</f>
        <v>#N/A</v>
      </c>
      <c r="V6" s="1">
        <v>3</v>
      </c>
      <c r="W6" s="1">
        <v>2</v>
      </c>
      <c r="X6" s="1">
        <v>3</v>
      </c>
      <c r="Y6" s="1">
        <f t="shared" si="2"/>
        <v>8</v>
      </c>
      <c r="Z6" s="1" t="str">
        <f>V6&amp;W6&amp;X6</f>
        <v>323</v>
      </c>
      <c r="AA6" s="30" t="str">
        <f>U9</f>
        <v>1 et 2</v>
      </c>
      <c r="AJ6" s="1" t="str">
        <f t="shared" si="0"/>
        <v/>
      </c>
      <c r="AK6" s="30" t="str">
        <f t="shared" si="1"/>
        <v/>
      </c>
    </row>
    <row r="7" spans="1:112" x14ac:dyDescent="0.25">
      <c r="A7" s="24">
        <f>D6-D7</f>
        <v>3</v>
      </c>
      <c r="B7" s="3" t="s">
        <v>67</v>
      </c>
      <c r="C7" s="37" t="e">
        <f>IF(E37&lt;2,"",I37)</f>
        <v>#N/A</v>
      </c>
      <c r="D7">
        <f>COUNTBLANK(C6:C8)</f>
        <v>0</v>
      </c>
      <c r="V7" s="1">
        <v>2</v>
      </c>
      <c r="W7" s="1">
        <v>3</v>
      </c>
      <c r="X7" s="1">
        <v>3</v>
      </c>
      <c r="Y7" s="1">
        <f t="shared" si="2"/>
        <v>8</v>
      </c>
      <c r="Z7" s="1" t="str">
        <f>V7&amp;W7&amp;X7</f>
        <v>233</v>
      </c>
      <c r="AA7" s="30" t="str">
        <f>U11</f>
        <v>3 et 1</v>
      </c>
      <c r="AJ7" s="1" t="str">
        <f t="shared" si="0"/>
        <v/>
      </c>
      <c r="AK7" s="30" t="str">
        <f t="shared" si="1"/>
        <v/>
      </c>
    </row>
    <row r="8" spans="1:112" x14ac:dyDescent="0.25">
      <c r="A8" s="3"/>
      <c r="B8" s="3" t="s">
        <v>68</v>
      </c>
      <c r="C8" s="37" t="e">
        <f>IF(E37&lt;3,"",I38)</f>
        <v>#N/A</v>
      </c>
      <c r="D8"/>
      <c r="H8" s="1" t="e">
        <f>H4</f>
        <v>#N/A</v>
      </c>
      <c r="I8" s="1" t="str">
        <f>H3</f>
        <v>POULE 1</v>
      </c>
      <c r="U8" s="1" t="s">
        <v>106</v>
      </c>
      <c r="V8" s="1">
        <v>3</v>
      </c>
      <c r="W8" s="1">
        <v>2</v>
      </c>
      <c r="X8" s="1">
        <v>2</v>
      </c>
      <c r="Y8" s="1">
        <f t="shared" si="2"/>
        <v>7</v>
      </c>
      <c r="Z8" s="1" t="str">
        <f t="shared" ref="Z8:Z13" si="3">V8&amp;W8&amp;X8</f>
        <v>322</v>
      </c>
      <c r="AA8" s="30" t="str">
        <f>U10</f>
        <v>2 et 3</v>
      </c>
      <c r="AJ8" s="1" t="str">
        <f t="shared" si="0"/>
        <v/>
      </c>
      <c r="AK8" s="30" t="str">
        <f t="shared" si="1"/>
        <v/>
      </c>
    </row>
    <row r="9" spans="1:112" x14ac:dyDescent="0.25">
      <c r="A9" s="3" t="s">
        <v>65</v>
      </c>
      <c r="B9" s="3" t="s">
        <v>66</v>
      </c>
      <c r="C9" s="38" t="e">
        <f>IF(E40&lt;1,"",I39)</f>
        <v>#N/A</v>
      </c>
      <c r="D9" s="24">
        <f>COUNTA(C9:C11)</f>
        <v>3</v>
      </c>
      <c r="H9" s="1" t="e">
        <f>H5</f>
        <v>#N/A</v>
      </c>
      <c r="I9" s="1" t="str">
        <f>H3</f>
        <v>POULE 1</v>
      </c>
      <c r="U9" s="1" t="s">
        <v>104</v>
      </c>
      <c r="V9" s="1">
        <v>2</v>
      </c>
      <c r="W9" s="1">
        <v>3</v>
      </c>
      <c r="X9" s="1">
        <v>2</v>
      </c>
      <c r="Y9" s="1">
        <f t="shared" si="2"/>
        <v>7</v>
      </c>
      <c r="Z9" s="1" t="str">
        <f t="shared" si="3"/>
        <v>232</v>
      </c>
      <c r="AA9" s="30" t="str">
        <f>U11</f>
        <v>3 et 1</v>
      </c>
      <c r="AJ9" s="1" t="str">
        <f t="shared" si="0"/>
        <v/>
      </c>
      <c r="AK9" s="30" t="str">
        <f t="shared" si="1"/>
        <v/>
      </c>
    </row>
    <row r="10" spans="1:112" x14ac:dyDescent="0.25">
      <c r="A10" s="24">
        <f>D9-D10</f>
        <v>3</v>
      </c>
      <c r="B10" s="3" t="s">
        <v>67</v>
      </c>
      <c r="C10" s="38" t="e">
        <f>IF(E40&lt;2,"",I40)</f>
        <v>#N/A</v>
      </c>
      <c r="D10">
        <f>COUNTBLANK(C9:C11)</f>
        <v>0</v>
      </c>
      <c r="H10" s="1" t="e">
        <f>H6</f>
        <v>#N/A</v>
      </c>
      <c r="I10" s="1" t="str">
        <f>H3</f>
        <v>POULE 1</v>
      </c>
      <c r="U10" s="1" t="s">
        <v>105</v>
      </c>
      <c r="V10" s="1">
        <v>2</v>
      </c>
      <c r="W10" s="1">
        <v>2</v>
      </c>
      <c r="X10" s="1">
        <v>3</v>
      </c>
      <c r="Y10" s="1">
        <f t="shared" si="2"/>
        <v>7</v>
      </c>
      <c r="Z10" s="1" t="str">
        <f t="shared" si="3"/>
        <v>223</v>
      </c>
      <c r="AA10" s="30" t="str">
        <f>U9</f>
        <v>1 et 2</v>
      </c>
    </row>
    <row r="11" spans="1:112" x14ac:dyDescent="0.25">
      <c r="B11" s="3" t="s">
        <v>68</v>
      </c>
      <c r="C11" s="38" t="e">
        <f>IF(E40&lt;3,"",I41)</f>
        <v>#N/A</v>
      </c>
      <c r="H11" s="1" t="e">
        <f>I4</f>
        <v>#N/A</v>
      </c>
      <c r="I11" s="1" t="str">
        <f>I3</f>
        <v>POULE 2</v>
      </c>
      <c r="U11" s="1" t="s">
        <v>119</v>
      </c>
      <c r="V11" s="1">
        <v>3</v>
      </c>
      <c r="W11" s="1">
        <v>3</v>
      </c>
      <c r="X11" s="1">
        <v>0</v>
      </c>
      <c r="Y11" s="1">
        <f t="shared" si="2"/>
        <v>6</v>
      </c>
      <c r="Z11" s="1" t="str">
        <f t="shared" si="3"/>
        <v>330</v>
      </c>
      <c r="AA11" s="30" t="str">
        <f>U8</f>
        <v>Aucune</v>
      </c>
    </row>
    <row r="12" spans="1:112" x14ac:dyDescent="0.25">
      <c r="A12" s="3" t="s">
        <v>97</v>
      </c>
      <c r="B12" s="3" t="s">
        <v>66</v>
      </c>
      <c r="C12" s="39" t="e">
        <f>IF(E43&lt;1,"",I42)</f>
        <v>#N/A</v>
      </c>
      <c r="D12" s="24">
        <f>COUNTA(C12:C14)</f>
        <v>3</v>
      </c>
      <c r="H12" s="1" t="e">
        <f>I5</f>
        <v>#N/A</v>
      </c>
      <c r="I12" s="1" t="str">
        <f>I3</f>
        <v>POULE 2</v>
      </c>
      <c r="V12" s="1">
        <v>3</v>
      </c>
      <c r="W12" s="1">
        <v>2</v>
      </c>
      <c r="X12" s="1">
        <v>0</v>
      </c>
      <c r="Y12" s="1">
        <f t="shared" si="2"/>
        <v>5</v>
      </c>
      <c r="Z12" s="1" t="str">
        <f t="shared" si="3"/>
        <v>320</v>
      </c>
      <c r="AA12" s="30" t="str">
        <f>U9</f>
        <v>1 et 2</v>
      </c>
    </row>
    <row r="13" spans="1:112" x14ac:dyDescent="0.25">
      <c r="A13" s="24">
        <f>D12-D13</f>
        <v>3</v>
      </c>
      <c r="B13" s="3" t="s">
        <v>67</v>
      </c>
      <c r="C13" s="39" t="e">
        <f>IF(E43&lt;2,"",I43)</f>
        <v>#N/A</v>
      </c>
      <c r="D13">
        <f>COUNTBLANK(C12:C14)</f>
        <v>0</v>
      </c>
      <c r="H13" s="1" t="e">
        <f>I6</f>
        <v>#N/A</v>
      </c>
      <c r="I13" s="1" t="str">
        <f>I3</f>
        <v>POULE 2</v>
      </c>
      <c r="V13" s="1">
        <v>2</v>
      </c>
      <c r="W13" s="1">
        <v>3</v>
      </c>
      <c r="X13" s="1">
        <v>0</v>
      </c>
      <c r="Y13" s="1">
        <f>V13+W13+X13</f>
        <v>5</v>
      </c>
      <c r="Z13" s="1" t="str">
        <f t="shared" si="3"/>
        <v>230</v>
      </c>
      <c r="AA13" s="30" t="str">
        <f>U9</f>
        <v>1 et 2</v>
      </c>
    </row>
    <row r="14" spans="1:112" ht="15.75" thickBot="1" x14ac:dyDescent="0.3">
      <c r="B14" s="3" t="s">
        <v>68</v>
      </c>
      <c r="C14" s="40" t="e">
        <f>IF(E43&lt;3,"",I44)</f>
        <v>#N/A</v>
      </c>
      <c r="H14" s="1" t="e">
        <f>U4</f>
        <v>#N/A</v>
      </c>
      <c r="I14" s="1" t="str">
        <f>U3</f>
        <v>POULE 3</v>
      </c>
      <c r="V14" s="1">
        <v>2</v>
      </c>
      <c r="W14" s="1">
        <v>2</v>
      </c>
      <c r="X14" s="1">
        <v>0</v>
      </c>
      <c r="Y14" s="1">
        <f>V14+W14+X14</f>
        <v>4</v>
      </c>
      <c r="Z14" s="1" t="str">
        <f>V14&amp;W14&amp;X14</f>
        <v>220</v>
      </c>
      <c r="AA14" s="30" t="str">
        <f>U9</f>
        <v>1 et 2</v>
      </c>
      <c r="CD14"/>
      <c r="CF14"/>
      <c r="CG14"/>
      <c r="CH14"/>
      <c r="CJ14"/>
      <c r="CL14"/>
      <c r="CM14"/>
      <c r="CN14"/>
      <c r="CO14"/>
      <c r="CP14"/>
      <c r="CQ14"/>
      <c r="CR14"/>
      <c r="CS14"/>
      <c r="CT14"/>
      <c r="CV14"/>
      <c r="CX14"/>
      <c r="CY14"/>
      <c r="CZ14"/>
      <c r="DA14"/>
      <c r="DB14"/>
      <c r="DC14"/>
      <c r="DD14"/>
      <c r="DF14"/>
      <c r="DH14"/>
    </row>
    <row r="15" spans="1:112" x14ac:dyDescent="0.25">
      <c r="H15" s="1" t="e">
        <f>U5</f>
        <v>#N/A</v>
      </c>
      <c r="I15" s="1" t="str">
        <f>U3</f>
        <v>POULE 3</v>
      </c>
      <c r="V15" s="1">
        <v>3</v>
      </c>
      <c r="W15" s="1">
        <v>0</v>
      </c>
      <c r="X15" s="1">
        <v>0</v>
      </c>
      <c r="Y15" s="1">
        <f>V15+W15+X15</f>
        <v>3</v>
      </c>
      <c r="Z15" s="1" t="str">
        <f>V15&amp;W15&amp;X15</f>
        <v>300</v>
      </c>
      <c r="AA15" s="30" t="str">
        <f>U8</f>
        <v>Aucune</v>
      </c>
    </row>
    <row r="16" spans="1:112" x14ac:dyDescent="0.25">
      <c r="A16" s="25" t="str">
        <f>AA2</f>
        <v>Aucune</v>
      </c>
      <c r="B16" s="25" t="s">
        <v>102</v>
      </c>
      <c r="H16" s="1" t="e">
        <f>U6</f>
        <v>#N/A</v>
      </c>
      <c r="I16" s="1" t="str">
        <f>U3</f>
        <v>POULE 3</v>
      </c>
      <c r="V16" s="1">
        <v>2</v>
      </c>
      <c r="W16" s="1">
        <v>0</v>
      </c>
      <c r="X16" s="1">
        <v>0</v>
      </c>
      <c r="Y16" s="1">
        <f>V16+W16+X16</f>
        <v>2</v>
      </c>
      <c r="Z16" s="1" t="str">
        <f>V16&amp;W16&amp;X16</f>
        <v>200</v>
      </c>
      <c r="AA16" s="30" t="str">
        <f>U8</f>
        <v>Aucune</v>
      </c>
      <c r="CL16"/>
      <c r="CM16"/>
      <c r="CN16"/>
      <c r="CQ16"/>
      <c r="CR16"/>
      <c r="CS16"/>
      <c r="CT16"/>
    </row>
    <row r="18" spans="1:118" x14ac:dyDescent="0.25">
      <c r="CL18"/>
      <c r="CM18"/>
      <c r="CN18"/>
      <c r="CO18"/>
      <c r="CP18"/>
      <c r="CQ18"/>
      <c r="CR18"/>
      <c r="CS18"/>
      <c r="CT18"/>
    </row>
    <row r="21" spans="1:118" ht="15.75" thickBot="1" x14ac:dyDescent="0.3">
      <c r="V21" s="1">
        <f>V24+V23+V22</f>
        <v>2</v>
      </c>
      <c r="X21" s="1">
        <f>X24+X23+X22</f>
        <v>2</v>
      </c>
      <c r="Z21" s="1">
        <f>Z24+Z23+Z22</f>
        <v>3</v>
      </c>
      <c r="AB21" s="1">
        <f>AB24+AB23+AB22</f>
        <v>3</v>
      </c>
      <c r="AD21" s="1">
        <f>AD24+AD23+AD22</f>
        <v>3</v>
      </c>
      <c r="AF21" s="1">
        <f>AF24+AF23+AF22</f>
        <v>4</v>
      </c>
      <c r="AH21" s="1">
        <f>AH24+AH23+AH22</f>
        <v>4</v>
      </c>
      <c r="AJ21" s="1">
        <f>AJ24+AJ23+AJ22</f>
        <v>4</v>
      </c>
      <c r="AL21" s="1">
        <f>AL24+AL23+AL22</f>
        <v>4</v>
      </c>
      <c r="AN21" s="1">
        <f>AN24+AN23+AN22</f>
        <v>4</v>
      </c>
      <c r="AP21" s="1">
        <f>AP24+AP23+AP22</f>
        <v>4</v>
      </c>
      <c r="AR21" s="1">
        <f>AR24+AR23+AR22</f>
        <v>4</v>
      </c>
      <c r="AT21" s="1">
        <f>AT24+AT23+AT22</f>
        <v>4</v>
      </c>
      <c r="AV21" s="1">
        <f>AV24+AV23+AV22</f>
        <v>4</v>
      </c>
      <c r="AX21" s="1">
        <f>AX24+AX23+AX22</f>
        <v>4</v>
      </c>
      <c r="AZ21" s="1">
        <f>AZ24+AZ23+AZ22</f>
        <v>4</v>
      </c>
      <c r="BB21" s="1">
        <f>BB24+BB23+BB22</f>
        <v>4</v>
      </c>
      <c r="BD21" s="1">
        <f>BD24+BD23+BD22</f>
        <v>5</v>
      </c>
      <c r="BF21" s="1">
        <f>BF24+BF23+BF22</f>
        <v>5</v>
      </c>
      <c r="BH21" s="1">
        <f>BH24+BH23+BH22</f>
        <v>5</v>
      </c>
      <c r="BJ21" s="1">
        <f>BJ24+BJ23+BJ22</f>
        <v>5</v>
      </c>
      <c r="BL21" s="1">
        <f>BL24+BL23+BL22</f>
        <v>5</v>
      </c>
      <c r="BN21" s="1">
        <f>BN24+BN23+BN22</f>
        <v>5</v>
      </c>
      <c r="BP21" s="1">
        <f>BP24+BP23+BP22</f>
        <v>5</v>
      </c>
      <c r="BR21" s="1">
        <f>BR24+BR23+BR22</f>
        <v>5</v>
      </c>
      <c r="BT21" s="1">
        <f>BT24+BT23+BT22</f>
        <v>5</v>
      </c>
      <c r="BU21" s="1"/>
      <c r="BV21" s="1">
        <f>BV24+BV23+BV22</f>
        <v>5</v>
      </c>
      <c r="BW21" s="1"/>
      <c r="BX21" s="1">
        <f>BX24+BX23+BX22</f>
        <v>5</v>
      </c>
      <c r="BY21" s="1"/>
      <c r="BZ21" s="1">
        <f>BZ24+BZ23+BZ22</f>
        <v>5</v>
      </c>
      <c r="CB21" s="1">
        <f>CB24+CB23+CB22</f>
        <v>6</v>
      </c>
      <c r="CC21"/>
      <c r="CD21" s="1">
        <f>CD24+CD23+CD22</f>
        <v>6</v>
      </c>
      <c r="CE21"/>
      <c r="CF21" s="1">
        <f>CF24+CF23+CF22</f>
        <v>6</v>
      </c>
      <c r="CH21" s="1">
        <f>CH24+CH23+CH22</f>
        <v>6</v>
      </c>
      <c r="CI21"/>
      <c r="CJ21" s="1">
        <f>CJ24+CJ23+CJ22</f>
        <v>6</v>
      </c>
      <c r="CK21"/>
      <c r="CL21" s="1">
        <f>CL24+CL23+CL22</f>
        <v>6</v>
      </c>
      <c r="CN21" s="1">
        <f>CN24+CN23+CN22</f>
        <v>6</v>
      </c>
      <c r="CP21" s="1">
        <f>CP24+CP23+CP22</f>
        <v>6</v>
      </c>
      <c r="CR21" s="65">
        <f>CR24+CR23+CR22</f>
        <v>6</v>
      </c>
      <c r="CT21" s="65">
        <f>CT24+CT23+CT22</f>
        <v>6</v>
      </c>
      <c r="CU21"/>
      <c r="CV21" s="65">
        <f>CV24+CV23+CV22</f>
        <v>7</v>
      </c>
      <c r="CW21"/>
      <c r="CX21" s="65">
        <f>CX24+CX23+CX22</f>
        <v>7</v>
      </c>
      <c r="CZ21" s="65">
        <f>CZ24+CZ23+CZ22</f>
        <v>7</v>
      </c>
      <c r="DB21" s="65">
        <f>DB24+DB23+DB22</f>
        <v>7</v>
      </c>
      <c r="DD21" s="65">
        <f>DD24+DD23+DD22</f>
        <v>7</v>
      </c>
      <c r="DE21"/>
      <c r="DF21" s="65">
        <f>DF24+DF23+DF22</f>
        <v>7</v>
      </c>
      <c r="DG21"/>
      <c r="DH21" s="65">
        <f>DH24+DH23+DH22</f>
        <v>8</v>
      </c>
      <c r="DJ21" s="65">
        <f>DJ24+DJ23+DJ22</f>
        <v>8</v>
      </c>
      <c r="DL21" s="65">
        <f>DL24+DL23+DL22</f>
        <v>8</v>
      </c>
      <c r="DN21" s="65">
        <f>DN24+DN23+DN22</f>
        <v>9</v>
      </c>
    </row>
    <row r="22" spans="1:118" x14ac:dyDescent="0.25">
      <c r="A22" s="25" t="str">
        <f>A27&amp;A30&amp;A33</f>
        <v>000</v>
      </c>
      <c r="B22" s="1" t="s">
        <v>61</v>
      </c>
      <c r="C22" s="32">
        <f>'INSCRIPTION DES JOUEURS'!D7</f>
        <v>0</v>
      </c>
      <c r="V22" s="1">
        <v>2</v>
      </c>
      <c r="X22" s="1">
        <v>1</v>
      </c>
      <c r="Z22" s="1">
        <v>3</v>
      </c>
      <c r="AB22" s="1">
        <v>2</v>
      </c>
      <c r="AD22" s="1">
        <v>1</v>
      </c>
      <c r="AF22" s="1">
        <v>3</v>
      </c>
      <c r="AH22" s="1">
        <v>3</v>
      </c>
      <c r="AJ22" s="1">
        <v>2</v>
      </c>
      <c r="AL22" s="1">
        <v>2</v>
      </c>
      <c r="AN22" s="1">
        <v>2</v>
      </c>
      <c r="AP22" s="1">
        <v>1</v>
      </c>
      <c r="AR22" s="1">
        <v>1</v>
      </c>
      <c r="AT22" s="1">
        <v>1</v>
      </c>
      <c r="AV22" s="1">
        <v>1</v>
      </c>
      <c r="AX22" s="1">
        <v>0</v>
      </c>
      <c r="AZ22" s="1">
        <v>0</v>
      </c>
      <c r="BB22" s="1">
        <v>0</v>
      </c>
      <c r="BD22" s="1">
        <v>3</v>
      </c>
      <c r="BF22" s="1">
        <v>3</v>
      </c>
      <c r="BH22" s="1">
        <v>3</v>
      </c>
      <c r="BJ22" s="1">
        <v>2</v>
      </c>
      <c r="BL22" s="1">
        <v>2</v>
      </c>
      <c r="BN22" s="1">
        <v>2</v>
      </c>
      <c r="BP22" s="1">
        <v>2</v>
      </c>
      <c r="BR22" s="1">
        <v>1</v>
      </c>
      <c r="BS22" s="1"/>
      <c r="BT22" s="1">
        <v>1</v>
      </c>
      <c r="BU22" s="1"/>
      <c r="BV22" s="1">
        <v>1</v>
      </c>
      <c r="BW22" s="1"/>
      <c r="BX22" s="1">
        <v>0</v>
      </c>
      <c r="BY22" s="1"/>
      <c r="BZ22" s="1">
        <v>0</v>
      </c>
      <c r="CB22" s="1">
        <v>3</v>
      </c>
      <c r="CC22"/>
      <c r="CD22" s="1">
        <v>3</v>
      </c>
      <c r="CE22"/>
      <c r="CF22" s="1">
        <v>3</v>
      </c>
      <c r="CH22" s="1">
        <v>3</v>
      </c>
      <c r="CI22"/>
      <c r="CJ22" s="1">
        <v>2</v>
      </c>
      <c r="CK22"/>
      <c r="CL22" s="1">
        <v>2</v>
      </c>
      <c r="CN22" s="1">
        <v>2</v>
      </c>
      <c r="CP22" s="1">
        <v>1</v>
      </c>
      <c r="CR22" s="1">
        <v>1</v>
      </c>
      <c r="CT22" s="1">
        <v>0</v>
      </c>
      <c r="CU22"/>
      <c r="CV22" s="1">
        <v>3</v>
      </c>
      <c r="CW22"/>
      <c r="CX22" s="1">
        <v>3</v>
      </c>
      <c r="CZ22" s="1">
        <v>3</v>
      </c>
      <c r="DB22" s="1">
        <v>2</v>
      </c>
      <c r="DD22" s="1">
        <v>2</v>
      </c>
      <c r="DE22"/>
      <c r="DF22" s="1">
        <v>1</v>
      </c>
      <c r="DG22"/>
      <c r="DH22" s="1">
        <v>3</v>
      </c>
      <c r="DJ22" s="1">
        <v>3</v>
      </c>
      <c r="DL22" s="1">
        <v>2</v>
      </c>
      <c r="DN22" s="1">
        <v>3</v>
      </c>
    </row>
    <row r="23" spans="1:118" x14ac:dyDescent="0.25">
      <c r="A23" s="25">
        <f>A27+A30+A33</f>
        <v>0</v>
      </c>
      <c r="B23" s="1" t="s">
        <v>62</v>
      </c>
      <c r="C23" s="33">
        <f>'INSCRIPTION DES JOUEURS'!D9</f>
        <v>0</v>
      </c>
      <c r="V23" s="1">
        <v>0</v>
      </c>
      <c r="X23" s="1">
        <v>1</v>
      </c>
      <c r="Z23" s="1">
        <v>0</v>
      </c>
      <c r="AB23" s="1">
        <v>1</v>
      </c>
      <c r="AD23" s="1">
        <v>2</v>
      </c>
      <c r="AF23" s="1">
        <v>1</v>
      </c>
      <c r="AH23" s="1">
        <v>0</v>
      </c>
      <c r="AJ23" s="1">
        <v>2</v>
      </c>
      <c r="AL23" s="1">
        <v>1</v>
      </c>
      <c r="AN23" s="1">
        <v>0</v>
      </c>
      <c r="AP23" s="1">
        <v>3</v>
      </c>
      <c r="AR23" s="1">
        <v>2</v>
      </c>
      <c r="AT23" s="1">
        <v>1</v>
      </c>
      <c r="AV23" s="1">
        <v>0</v>
      </c>
      <c r="AX23" s="1">
        <v>3</v>
      </c>
      <c r="AZ23" s="1">
        <v>2</v>
      </c>
      <c r="BB23" s="1">
        <v>1</v>
      </c>
      <c r="BD23" s="1">
        <v>2</v>
      </c>
      <c r="BF23" s="1">
        <v>1</v>
      </c>
      <c r="BH23" s="1">
        <v>0</v>
      </c>
      <c r="BJ23" s="1">
        <v>3</v>
      </c>
      <c r="BL23" s="1">
        <v>2</v>
      </c>
      <c r="BN23" s="1">
        <v>1</v>
      </c>
      <c r="BP23" s="1">
        <v>0</v>
      </c>
      <c r="BR23" s="1">
        <v>3</v>
      </c>
      <c r="BT23" s="1">
        <v>2</v>
      </c>
      <c r="BU23" s="1"/>
      <c r="BV23" s="1">
        <v>1</v>
      </c>
      <c r="BW23" s="1"/>
      <c r="BX23" s="1">
        <v>3</v>
      </c>
      <c r="BY23" s="1"/>
      <c r="BZ23" s="1">
        <v>2</v>
      </c>
      <c r="CB23" s="1">
        <v>3</v>
      </c>
      <c r="CC23"/>
      <c r="CD23" s="1">
        <v>2</v>
      </c>
      <c r="CE23"/>
      <c r="CF23" s="1">
        <v>1</v>
      </c>
      <c r="CH23" s="1">
        <v>0</v>
      </c>
      <c r="CI23"/>
      <c r="CJ23" s="1">
        <v>3</v>
      </c>
      <c r="CK23"/>
      <c r="CL23" s="1">
        <v>2</v>
      </c>
      <c r="CN23" s="1">
        <v>1</v>
      </c>
      <c r="CP23" s="1">
        <v>3</v>
      </c>
      <c r="CR23" s="1">
        <v>2</v>
      </c>
      <c r="CT23" s="1">
        <v>3</v>
      </c>
      <c r="CU23"/>
      <c r="CV23" s="1">
        <v>3</v>
      </c>
      <c r="CW23"/>
      <c r="CX23" s="1">
        <v>1</v>
      </c>
      <c r="CZ23" s="1">
        <v>2</v>
      </c>
      <c r="DB23" s="1">
        <v>3</v>
      </c>
      <c r="DD23" s="1">
        <v>2</v>
      </c>
      <c r="DE23"/>
      <c r="DF23" s="1">
        <v>3</v>
      </c>
      <c r="DG23"/>
      <c r="DH23" s="1">
        <v>3</v>
      </c>
      <c r="DJ23" s="1">
        <v>2</v>
      </c>
      <c r="DL23" s="1">
        <v>3</v>
      </c>
      <c r="DN23" s="1">
        <v>3</v>
      </c>
    </row>
    <row r="24" spans="1:118" x14ac:dyDescent="0.25">
      <c r="B24" s="1" t="s">
        <v>63</v>
      </c>
      <c r="C24" s="34" t="str">
        <f>'INSCRIPTION DES JOUEURS'!BD10</f>
        <v>5 Quilles N1</v>
      </c>
      <c r="S24" s="1">
        <f>A23</f>
        <v>0</v>
      </c>
      <c r="V24" s="1">
        <v>0</v>
      </c>
      <c r="X24" s="1">
        <v>0</v>
      </c>
      <c r="Z24" s="1">
        <v>0</v>
      </c>
      <c r="AB24" s="1">
        <v>0</v>
      </c>
      <c r="AD24" s="1">
        <v>0</v>
      </c>
      <c r="AF24" s="1">
        <v>0</v>
      </c>
      <c r="AH24" s="1">
        <v>1</v>
      </c>
      <c r="AJ24" s="1">
        <v>0</v>
      </c>
      <c r="AL24" s="1">
        <v>1</v>
      </c>
      <c r="AN24" s="1">
        <v>2</v>
      </c>
      <c r="AP24" s="1">
        <v>0</v>
      </c>
      <c r="AR24" s="1">
        <v>1</v>
      </c>
      <c r="AT24" s="1">
        <v>2</v>
      </c>
      <c r="AV24" s="1">
        <v>3</v>
      </c>
      <c r="AX24" s="1">
        <v>1</v>
      </c>
      <c r="AZ24" s="1">
        <v>2</v>
      </c>
      <c r="BB24" s="1">
        <v>3</v>
      </c>
      <c r="BD24" s="1">
        <v>0</v>
      </c>
      <c r="BF24" s="1">
        <v>1</v>
      </c>
      <c r="BH24" s="1">
        <v>2</v>
      </c>
      <c r="BJ24" s="1">
        <v>0</v>
      </c>
      <c r="BL24" s="1">
        <v>1</v>
      </c>
      <c r="BN24" s="1">
        <v>2</v>
      </c>
      <c r="BP24" s="1">
        <v>3</v>
      </c>
      <c r="BR24" s="1">
        <v>1</v>
      </c>
      <c r="BT24" s="1">
        <v>2</v>
      </c>
      <c r="BU24" s="1"/>
      <c r="BV24" s="1">
        <v>3</v>
      </c>
      <c r="BW24" s="1"/>
      <c r="BX24" s="1">
        <v>2</v>
      </c>
      <c r="BY24" s="1"/>
      <c r="BZ24" s="1">
        <v>3</v>
      </c>
      <c r="CB24" s="1">
        <v>0</v>
      </c>
      <c r="CC24"/>
      <c r="CD24" s="1">
        <v>1</v>
      </c>
      <c r="CE24"/>
      <c r="CF24" s="1">
        <v>2</v>
      </c>
      <c r="CH24" s="1">
        <v>3</v>
      </c>
      <c r="CI24"/>
      <c r="CJ24" s="1">
        <v>1</v>
      </c>
      <c r="CK24"/>
      <c r="CL24" s="1">
        <v>2</v>
      </c>
      <c r="CN24" s="1">
        <v>3</v>
      </c>
      <c r="CP24" s="1">
        <v>2</v>
      </c>
      <c r="CR24" s="1">
        <v>3</v>
      </c>
      <c r="CT24" s="1">
        <v>3</v>
      </c>
      <c r="CU24"/>
      <c r="CV24" s="1">
        <v>1</v>
      </c>
      <c r="CW24"/>
      <c r="CX24" s="1">
        <v>3</v>
      </c>
      <c r="CZ24" s="1">
        <v>2</v>
      </c>
      <c r="DB24" s="1">
        <v>2</v>
      </c>
      <c r="DD24" s="1">
        <v>3</v>
      </c>
      <c r="DE24"/>
      <c r="DF24" s="1">
        <v>3</v>
      </c>
      <c r="DG24"/>
      <c r="DH24" s="1">
        <v>2</v>
      </c>
      <c r="DJ24" s="1">
        <v>3</v>
      </c>
      <c r="DL24" s="1">
        <v>3</v>
      </c>
      <c r="DN24" s="1">
        <v>3</v>
      </c>
    </row>
    <row r="25" spans="1:118" ht="15.75" thickBot="1" x14ac:dyDescent="0.3">
      <c r="B25" s="1" t="s">
        <v>122</v>
      </c>
      <c r="C25" s="59" t="str">
        <f>'INSCRIPTION DES JOUEURS'!BD11</f>
        <v>2 Sets Gagnants 60 pts</v>
      </c>
      <c r="G25" s="1" t="str">
        <f>A23&amp;A27&amp;A30&amp;A33</f>
        <v>0000</v>
      </c>
      <c r="V25" s="1" t="str">
        <f>V$21&amp;V$22&amp;V$23&amp;V$24</f>
        <v>2200</v>
      </c>
      <c r="X25" s="1" t="str">
        <f>X$21&amp;X$22&amp;X$23&amp;X$24</f>
        <v>2110</v>
      </c>
      <c r="Z25" s="1" t="str">
        <f>Z$21&amp;Z$22&amp;Z$23&amp;Z$24</f>
        <v>3300</v>
      </c>
      <c r="AB25" s="1" t="str">
        <f>AB$21&amp;AB$22&amp;AB$23&amp;AB$24</f>
        <v>3210</v>
      </c>
      <c r="AD25" s="1" t="str">
        <f>AD$21&amp;AD$22&amp;AD$23&amp;AD$24</f>
        <v>3120</v>
      </c>
      <c r="AF25" s="1" t="str">
        <f>AF$21&amp;AF$22&amp;AF$23&amp;AF$24</f>
        <v>4310</v>
      </c>
      <c r="AH25" s="1" t="str">
        <f>AH$21&amp;AH$22&amp;AH$23&amp;AH$24</f>
        <v>4301</v>
      </c>
      <c r="AJ25" s="1" t="str">
        <f>AJ$21&amp;AJ$22&amp;AJ$23&amp;AJ$24</f>
        <v>4220</v>
      </c>
      <c r="AL25" s="1" t="str">
        <f>AL$21&amp;AL$22&amp;AL$23&amp;AL$24</f>
        <v>4211</v>
      </c>
      <c r="AN25" s="1" t="str">
        <f>AN$21&amp;AN$22&amp;AN$23&amp;AN$24</f>
        <v>4202</v>
      </c>
      <c r="AP25" s="1" t="str">
        <f>AP$21&amp;AP$22&amp;AP$23&amp;AP$24</f>
        <v>4130</v>
      </c>
      <c r="AR25" s="1" t="str">
        <f>AR$21&amp;AR$22&amp;AR$23&amp;AR$24</f>
        <v>4121</v>
      </c>
      <c r="AT25" s="1" t="str">
        <f>AT$21&amp;AT$22&amp;AT$23&amp;AT$24</f>
        <v>4112</v>
      </c>
      <c r="AV25" s="1" t="str">
        <f>AV$21&amp;AV$22&amp;AV$23&amp;AV$24</f>
        <v>4103</v>
      </c>
      <c r="AX25" s="1" t="str">
        <f>AX$21&amp;AX$22&amp;AX$23&amp;AX$24</f>
        <v>4031</v>
      </c>
      <c r="AZ25" s="1" t="str">
        <f>AZ$21&amp;AZ$22&amp;AZ$23&amp;AZ$24</f>
        <v>4022</v>
      </c>
      <c r="BB25" s="1" t="str">
        <f>BB$21&amp;BB$22&amp;BB$23&amp;BB$24</f>
        <v>4013</v>
      </c>
      <c r="BD25" s="1" t="str">
        <f>BD$21&amp;BD$22&amp;BD$23&amp;BD$24</f>
        <v>5320</v>
      </c>
      <c r="BF25" s="1" t="str">
        <f>BF$21&amp;BF$22&amp;BF$23&amp;BF$24</f>
        <v>5311</v>
      </c>
      <c r="BH25" s="1" t="str">
        <f>BH$21&amp;BH$22&amp;BH$23&amp;BH$24</f>
        <v>5302</v>
      </c>
      <c r="BJ25" s="1" t="str">
        <f>BJ$21&amp;BJ$22&amp;BJ$23&amp;BJ$24</f>
        <v>5230</v>
      </c>
      <c r="BL25" s="1" t="str">
        <f>BL$21&amp;BL$22&amp;BL$23&amp;BL$24</f>
        <v>5221</v>
      </c>
      <c r="BN25" s="1" t="str">
        <f>BN$21&amp;BN$22&amp;BN$23&amp;BN$24</f>
        <v>5212</v>
      </c>
      <c r="BP25" s="1" t="str">
        <f>BP$21&amp;BP$22&amp;BP$23&amp;BP$24</f>
        <v>5203</v>
      </c>
      <c r="BR25" s="1" t="str">
        <f>BR$21&amp;BR$22&amp;BR$23&amp;BR$24</f>
        <v>5131</v>
      </c>
      <c r="BT25" s="1" t="str">
        <f>BT$21&amp;BT$22&amp;BT$23&amp;BT$24</f>
        <v>5122</v>
      </c>
      <c r="BU25" s="1"/>
      <c r="BV25" s="1" t="str">
        <f>BV$21&amp;BV$22&amp;BV$23&amp;BV$24</f>
        <v>5113</v>
      </c>
      <c r="BW25" s="1"/>
      <c r="BX25" s="1" t="str">
        <f>BX$21&amp;BX$22&amp;BX$23&amp;BX$24</f>
        <v>5032</v>
      </c>
      <c r="BY25" s="1"/>
      <c r="BZ25" s="1" t="str">
        <f>BZ$21&amp;BZ$22&amp;BZ$23&amp;BZ$24</f>
        <v>5023</v>
      </c>
      <c r="CB25" s="1" t="str">
        <f>CB$21&amp;CB$22&amp;CB$23&amp;CB$24</f>
        <v>6330</v>
      </c>
      <c r="CC25"/>
      <c r="CD25" s="1" t="str">
        <f>CD$21&amp;CD$22&amp;CD$23&amp;CD$24</f>
        <v>6321</v>
      </c>
      <c r="CE25"/>
      <c r="CF25" s="1" t="str">
        <f>CF$21&amp;CF$22&amp;CF$23&amp;CF$24</f>
        <v>6312</v>
      </c>
      <c r="CH25" s="1" t="str">
        <f>CH$21&amp;CH$22&amp;CH$23&amp;CH$24</f>
        <v>6303</v>
      </c>
      <c r="CI25"/>
      <c r="CJ25" s="1" t="str">
        <f>CJ$21&amp;CJ$22&amp;CJ$23&amp;CJ$24</f>
        <v>6231</v>
      </c>
      <c r="CK25"/>
      <c r="CL25" s="1" t="str">
        <f>CL$21&amp;CL$22&amp;CL$23&amp;CL$24</f>
        <v>6222</v>
      </c>
      <c r="CN25" s="1" t="str">
        <f>CN$21&amp;CN$22&amp;CN$23&amp;CN$24</f>
        <v>6213</v>
      </c>
      <c r="CP25" s="1" t="str">
        <f>CP$21&amp;CP$22&amp;CP$23&amp;CP$24</f>
        <v>6132</v>
      </c>
      <c r="CR25" s="1" t="str">
        <f>CR$21&amp;CR$22&amp;CR$23&amp;CR$24</f>
        <v>6123</v>
      </c>
      <c r="CT25" s="1" t="str">
        <f>CT$21&amp;CT$22&amp;CT$23&amp;CT$24</f>
        <v>6033</v>
      </c>
      <c r="CU25"/>
      <c r="CV25" s="1" t="str">
        <f>CV$21&amp;CV$22&amp;CV$23&amp;CV$24</f>
        <v>7331</v>
      </c>
      <c r="CW25"/>
      <c r="CX25" s="1" t="str">
        <f>CX$21&amp;CX$22&amp;CX$23&amp;CX$24</f>
        <v>7313</v>
      </c>
      <c r="CZ25" s="1" t="str">
        <f>CZ$21&amp;CZ$22&amp;CZ$23&amp;CZ$24</f>
        <v>7322</v>
      </c>
      <c r="DB25" s="1" t="str">
        <f>DB$21&amp;DB$22&amp;DB$23&amp;DB$24</f>
        <v>7232</v>
      </c>
      <c r="DD25" s="1" t="str">
        <f>DD$21&amp;DD$22&amp;DD$23&amp;DD$24</f>
        <v>7223</v>
      </c>
      <c r="DE25"/>
      <c r="DF25" s="1" t="str">
        <f>DF$21&amp;DF$22&amp;DF$23&amp;DF$24</f>
        <v>7133</v>
      </c>
      <c r="DG25"/>
      <c r="DH25" s="1" t="str">
        <f>DH$21&amp;DH$22&amp;DH$23&amp;DH$24</f>
        <v>8332</v>
      </c>
      <c r="DJ25" s="1" t="str">
        <f>DJ$21&amp;DJ$22&amp;DJ$23&amp;DJ$24</f>
        <v>8323</v>
      </c>
      <c r="DL25" s="1" t="str">
        <f>DL$21&amp;DL$22&amp;DL$23&amp;DL$24</f>
        <v>8233</v>
      </c>
      <c r="DN25" s="1" t="str">
        <f>DN$21&amp;DN$22&amp;DN$23&amp;DN$24</f>
        <v>9333</v>
      </c>
    </row>
    <row r="26" spans="1:118" x14ac:dyDescent="0.25">
      <c r="A26" s="1" t="str">
        <f>A6</f>
        <v>POULE 1</v>
      </c>
      <c r="B26" s="1" t="s">
        <v>66</v>
      </c>
      <c r="C26" s="43" t="str">
        <f>IF('INSCRIPTION DES JOUEURS'!I18="","",'INSCRIPTION DES JOUEURS'!I18)</f>
        <v/>
      </c>
      <c r="D26" s="24">
        <f>COUNTA(C26:C28)</f>
        <v>3</v>
      </c>
      <c r="E26" s="1">
        <v>1</v>
      </c>
      <c r="F26" s="1" t="str">
        <f>IF(G26="","",E26)</f>
        <v/>
      </c>
      <c r="G26" s="1" t="str">
        <f>IF(C26="","",C26)</f>
        <v/>
      </c>
      <c r="H26" s="1" t="str">
        <f t="shared" ref="H26:H34" si="4">IFERROR(RANK($F26,$F$26:$F$34,1),"")</f>
        <v/>
      </c>
      <c r="I26" s="1" t="str">
        <f t="shared" ref="I26:I34" si="5">IF(H26="","",G26)</f>
        <v/>
      </c>
      <c r="J26" s="1" t="e">
        <f>'INSCRIPTION DES JOUEURS'!#REF!</f>
        <v>#REF!</v>
      </c>
      <c r="K26" s="1" t="str">
        <f>IF(H26="","",IF(OR(H26=1,H26=2,H26=3),10000,IF(OR(H26=4,H26=5,H26=6),1000,100)))</f>
        <v/>
      </c>
      <c r="L26" s="1" t="e">
        <f>IF(J26="","",J26+K26)</f>
        <v>#REF!</v>
      </c>
      <c r="M26" s="1" t="str">
        <f>IFERROR(RANK(L26,$L$26:$L$34,0),"")</f>
        <v/>
      </c>
      <c r="N26" s="1" t="str">
        <f>I26</f>
        <v/>
      </c>
      <c r="O26" s="1">
        <v>1</v>
      </c>
      <c r="P26" s="1" t="str">
        <f>IFERROR(VLOOKUP(O26,$M$26:$O$34,2,0),"")</f>
        <v/>
      </c>
      <c r="Q26" s="1" t="str">
        <f>IFERROR(VLOOKUP(P26,LISTE!$Z$3:$AB$146,3,0),"")</f>
        <v/>
      </c>
      <c r="R26" s="1" t="str">
        <f>IF(S26="","",O26)</f>
        <v/>
      </c>
      <c r="S26" s="1" t="str">
        <f>IF(AND($S$24=3,Q26=Q27),P28,IF(AND($S$24=3,Q26=Q28),P27,IF(AND($S$24=3,Q27=Q28),P26,IF(AND(S24=6,Q26=Q27),P28,IF(AND(S24=6,Q26=Q28),P27,IF(AND(S24=6,Q27=Q28),P26,P26))))))</f>
        <v/>
      </c>
      <c r="U26" s="1">
        <v>1</v>
      </c>
      <c r="W26" s="1">
        <v>1</v>
      </c>
      <c r="X26" s="1" t="str">
        <f>IF(X$25&lt;&gt;$G$25,"",IF(X$25=$G$25,IFERROR(VLOOKUP($E26,$R$26:$S$34,2,0),"")))</f>
        <v/>
      </c>
      <c r="Y26" s="1">
        <v>1</v>
      </c>
      <c r="Z26" s="1" t="str">
        <f>IF(Z$25&lt;&gt;$G$25,"",IF(Z$25=$G$25,IFERROR(VLOOKUP($E26,$H$26:$I$34,2,0),"")))</f>
        <v/>
      </c>
      <c r="AA26" s="1">
        <v>1</v>
      </c>
      <c r="AB26" s="1" t="str">
        <f t="shared" ref="AB26:AB34" si="6">IF(AB$25&lt;&gt;$G$25,"",IF(AB$25=$G$25,IFERROR(VLOOKUP($E26,$H$26:$I$34,2,0),"")))</f>
        <v/>
      </c>
      <c r="AC26" s="1">
        <v>1</v>
      </c>
      <c r="AD26" s="1" t="str">
        <f>IF(AD$25&lt;&gt;$G$25,"",IF(AD$25=$G$25,IFERROR(VLOOKUP($E26,$H$26:$I$34,2,0),"")))</f>
        <v/>
      </c>
      <c r="AE26" s="1">
        <v>1</v>
      </c>
      <c r="AF26" s="1" t="str">
        <f>IF(AF$25&lt;&gt;$G$25,"",IF(AF$25=$G$25,IFERROR(VLOOKUP($E26,$H$26:$I$34,2,0),"")))</f>
        <v/>
      </c>
      <c r="AG26" s="1">
        <v>1</v>
      </c>
      <c r="AH26" s="1" t="str">
        <f>IF(AH$25&lt;&gt;$G$25,"",IF(AH$25=$G$25,IFERROR(VLOOKUP($E26,$H$26:$I$34,2,0),"")))</f>
        <v/>
      </c>
      <c r="AI26" s="1">
        <v>1</v>
      </c>
      <c r="AJ26" s="1" t="str">
        <f>IF(AJ$25&lt;&gt;$G$25,"",IF(AJ$25=$G$25,IFERROR(VLOOKUP($E26,$H$26:$I$34,2,0),"")))</f>
        <v/>
      </c>
      <c r="AK26" s="1">
        <v>1</v>
      </c>
      <c r="AL26" s="1" t="str">
        <f>IF(AL$25&lt;&gt;$G$25,"",IF(AL$25=$G$25,IFERROR(VLOOKUP($E26,$H$26:$I$34,2,0),"")))</f>
        <v/>
      </c>
      <c r="AM26" s="1">
        <v>1</v>
      </c>
      <c r="AN26" s="1" t="str">
        <f>IF(AN$25&lt;&gt;$G$25,"",IF(AN$25=$G$25,IFERROR(VLOOKUP($E26,$H$26:$I$34,2,0),"")))</f>
        <v/>
      </c>
      <c r="AO26" s="1">
        <v>1</v>
      </c>
      <c r="AP26" s="1" t="str">
        <f>IF(AP$25&lt;&gt;$G$25,"",IF(AP$25=$G$25,IFERROR(VLOOKUP($E26,$H$26:$I$34,2,0),"")))</f>
        <v/>
      </c>
      <c r="AQ26" s="1">
        <v>1</v>
      </c>
      <c r="AR26" s="1" t="str">
        <f>IF(AR$25&lt;&gt;$G$25,"",IF(AR$25=$G$25,IFERROR(VLOOKUP($E26,$H$26:$I$34,2,0),"")))</f>
        <v/>
      </c>
      <c r="AS26" s="1">
        <v>1</v>
      </c>
      <c r="AT26" s="1" t="str">
        <f>IF(AT$25&lt;&gt;$G$25,"",IF(AT$25=$G$25,IFERROR(VLOOKUP($E26,$H$26:$I$34,2,0),"")))</f>
        <v/>
      </c>
      <c r="AU26" s="1">
        <v>1</v>
      </c>
      <c r="AV26" s="1" t="str">
        <f>IF(AV$25&lt;&gt;$G$25,"",IF(AV$25=$G$25,IFERROR(VLOOKUP($E26,$H$26:$I$34,2,0),"")))</f>
        <v/>
      </c>
      <c r="AW26" s="1">
        <v>1</v>
      </c>
      <c r="AX26" s="1" t="str">
        <f>IF(AX$25&lt;&gt;$G$25,"",IF(AX$25=$G$25,IFERROR(VLOOKUP($E26,$H$26:$I$34,2,0),"")))</f>
        <v/>
      </c>
      <c r="AY26" s="1">
        <v>1</v>
      </c>
      <c r="AZ26" s="1" t="str">
        <f>IF(AZ$25&lt;&gt;$G$25,"",IF(AZ$25=$G$25,IFERROR(VLOOKUP($E26,$H$26:$I$34,2,0),"")))</f>
        <v/>
      </c>
      <c r="BA26" s="1">
        <v>1</v>
      </c>
      <c r="BB26" s="1" t="str">
        <f>IF(BB$25&lt;&gt;$G$25,"",IF(BB$25=$G$25,IFERROR(VLOOKUP($E26,$H$26:$I$34,2,0),"")))</f>
        <v/>
      </c>
      <c r="BC26" s="1">
        <v>1</v>
      </c>
      <c r="BD26" s="1" t="str">
        <f>IF(BD$25&lt;&gt;$G$25,"",IF(BD$25=$G$25,IFERROR(VLOOKUP($E26,$H$26:$I$34,2,0),"")))</f>
        <v/>
      </c>
      <c r="BE26" s="1">
        <v>1</v>
      </c>
      <c r="BF26" s="1" t="str">
        <f>IF(BF$25&lt;&gt;$G$25,"",IF(BF$25=$G$25,IFERROR(VLOOKUP($E26,$H$26:$I$34,2,0),"")))</f>
        <v/>
      </c>
      <c r="BG26" s="1">
        <v>1</v>
      </c>
      <c r="BH26" s="1" t="str">
        <f>IF(BH$25&lt;&gt;$G$25,"",IF(BH$25=$G$25,IFERROR(VLOOKUP($E26,$H$26:$I$34,2,0),"")))</f>
        <v/>
      </c>
      <c r="BI26" s="1">
        <v>1</v>
      </c>
      <c r="BJ26" s="1" t="str">
        <f>IF(BJ$25&lt;&gt;$G$25,"",IF(BJ$25=$G$25,IFERROR(VLOOKUP($E26,$H$26:$I$34,2,0),"")))</f>
        <v/>
      </c>
      <c r="BK26" s="1">
        <v>1</v>
      </c>
      <c r="BL26" s="1" t="str">
        <f>IF(BL$25&lt;&gt;$G$25,"",IF(BL$25=$G$25,IFERROR(VLOOKUP($E26,$H$26:$I$34,2,0),"")))</f>
        <v/>
      </c>
      <c r="BM26" s="1">
        <v>1</v>
      </c>
      <c r="BN26" s="1" t="str">
        <f>IF(BN$25&lt;&gt;$G$25,"",IF(BN$25=$G$25,IFERROR(VLOOKUP($E26,$H$26:$I$34,2,0),"")))</f>
        <v/>
      </c>
      <c r="BO26" s="1">
        <v>1</v>
      </c>
      <c r="BP26" s="1" t="str">
        <f>IF(BP$25&lt;&gt;$G$25,"",IF(BP$25=$G$25,IFERROR(VLOOKUP($E26,$H$26:$I$34,2,0),"")))</f>
        <v/>
      </c>
      <c r="BQ26" s="1">
        <v>2</v>
      </c>
      <c r="BR26" s="1" t="str">
        <f>IF(BR$25&lt;&gt;$G$25,"",IF(BR$25=$G$25,IFERROR(VLOOKUP($E27,$H$26:$I$34,2,0),"")))</f>
        <v/>
      </c>
      <c r="BS26" s="1">
        <v>2</v>
      </c>
      <c r="BT26" s="1" t="str">
        <f>IF(BT$25&lt;&gt;$G$25,"",IF(BT$25=$G$25,IFERROR(VLOOKUP($E27,$H$26:$I$34,2,0),"")))</f>
        <v/>
      </c>
      <c r="BU26" s="1">
        <v>1</v>
      </c>
      <c r="BV26" s="1" t="str">
        <f>IF(BV$25&lt;&gt;$G$25,"",IF(BV$25=$G$25,IFERROR(VLOOKUP($E26,$H$26:$I$34,2,0),"")))</f>
        <v/>
      </c>
      <c r="BW26" s="1">
        <v>1</v>
      </c>
      <c r="BX26" s="1" t="str">
        <f t="shared" ref="BX26:BX34" si="7">IF(BX$25&lt;&gt;$G$25,"",IF(BX$25=$G$25,IFERROR(VLOOKUP($E26,$H$26:$I$34,2,0),"")))</f>
        <v/>
      </c>
      <c r="BY26" s="1">
        <v>1</v>
      </c>
      <c r="BZ26" s="1" t="str">
        <f>IF(BZ$25&lt;&gt;$G$25,"",IF(BZ$25=$G$25,IFERROR(VLOOKUP($E26,$H$26:$I$34,2,0),"")))</f>
        <v/>
      </c>
      <c r="CA26" s="1">
        <v>1</v>
      </c>
      <c r="CB26" s="1" t="str">
        <f>IF(CB$25&lt;&gt;$G$25,"",IF(CB$25=$G$25,IFERROR(VLOOKUP($E26,$H$26:$I$34,2,0),"")))</f>
        <v/>
      </c>
      <c r="CC26" s="1">
        <v>1</v>
      </c>
      <c r="CD26" s="1" t="str">
        <f>IF(CD$25&lt;&gt;$G$25,"",IF(CD$25=$G$25,IFERROR(VLOOKUP($E26,$H$26:$I$34,2,0),"")))</f>
        <v/>
      </c>
      <c r="CE26" s="1">
        <v>1</v>
      </c>
      <c r="CF26" s="1" t="str">
        <f>IF(CF$25&lt;&gt;$G$25,"",IF(CF$25=$G$25,IFERROR(VLOOKUP($E26,$H$26:$I$34,2,0),"")))</f>
        <v/>
      </c>
      <c r="CG26" s="1">
        <v>1</v>
      </c>
      <c r="CH26" s="1" t="str">
        <f>IF(CH$25&lt;&gt;$G$25,"",IF(CH$25=$G$25,IFERROR(VLOOKUP($E26,$H$26:$I$34,2,0),"")))</f>
        <v/>
      </c>
      <c r="CI26" s="1">
        <v>1</v>
      </c>
      <c r="CJ26" s="1" t="str">
        <f>IF(CJ$25&lt;&gt;$G$25,"",IF(CJ$25=$G$25,IFERROR(VLOOKUP($E26,$H$26:$I$34,2,0),"")))</f>
        <v/>
      </c>
      <c r="CK26" s="1">
        <v>1</v>
      </c>
      <c r="CL26" s="1" t="str">
        <f>IF(CL$25&lt;&gt;$G$25,"",IF(CL$25=$G$25,IFERROR(VLOOKUP($E26,$H$26:$I$34,2,0),"")))</f>
        <v/>
      </c>
      <c r="CM26" s="1">
        <v>1</v>
      </c>
      <c r="CN26" s="1" t="str">
        <f>IF(CN$25&lt;&gt;$G$25,"",IF(CN$25=$G$25,IFERROR(VLOOKUP($E26,$H$26:$I$34,2,0),"")))</f>
        <v/>
      </c>
      <c r="CO26" s="1">
        <v>2</v>
      </c>
      <c r="CP26" s="1" t="str">
        <f>IF(CP$25&lt;&gt;$G$25,"",IF(CP$25=$G$25,IFERROR(VLOOKUP($E27,$H$26:$I$34,2,0),"")))</f>
        <v/>
      </c>
      <c r="CQ26" s="1">
        <v>1</v>
      </c>
      <c r="CR26" s="1" t="str">
        <f>IF(CR$25&lt;&gt;$G$25,"",IF(CR$25=$G$25,IFERROR(VLOOKUP($E26,$R$26:$S$34,2,0),"")))</f>
        <v/>
      </c>
      <c r="CS26" s="1">
        <v>1</v>
      </c>
      <c r="CT26" s="1" t="str">
        <f t="shared" ref="CT26:CT34" si="8">IF(CT$25&lt;&gt;$G$25,"",IF(CT$25=$G$25,IFERROR(VLOOKUP($E26,$H$26:$I$34,2,0),"")))</f>
        <v/>
      </c>
      <c r="CU26" s="1">
        <v>1</v>
      </c>
      <c r="CV26" s="1" t="str">
        <f>IF(CV$25&lt;&gt;$G$25,"",IF(CV$25=$G$25,IFERROR(VLOOKUP($E26,$H$26:$I$34,2,0),"")))</f>
        <v/>
      </c>
      <c r="CW26" s="1">
        <v>1</v>
      </c>
      <c r="CX26" s="1" t="str">
        <f>IF(CX$25&lt;&gt;$G$25,"",IF(CX$25=$G$25,IFERROR(VLOOKUP($E26,$H$26:$I$34,2,0),"")))</f>
        <v/>
      </c>
      <c r="CY26" s="1">
        <v>1</v>
      </c>
      <c r="CZ26" s="1" t="str">
        <f>IF(CZ$25&lt;&gt;$G$25,"",IF(CZ$25=$G$25,IFERROR(VLOOKUP($E26,$H$26:$I$34,2,0),"")))</f>
        <v/>
      </c>
      <c r="DA26" s="1">
        <v>1</v>
      </c>
      <c r="DB26" s="1" t="str">
        <f>IF(DB$25&lt;&gt;$G$25,"",IF(DB$25=$G$25,IFERROR(VLOOKUP($E26,$H$26:$I$34,2,0),"")))</f>
        <v/>
      </c>
      <c r="DC26" s="1">
        <v>1</v>
      </c>
      <c r="DD26" s="1" t="str">
        <f>IF(DD$25&lt;&gt;$G$25,"",IF(DD$25=$G$25,IFERROR(VLOOKUP($E26,$H$26:$I$34,2,0),"")))</f>
        <v/>
      </c>
      <c r="DE26" s="1">
        <v>1</v>
      </c>
      <c r="DF26" s="1" t="str">
        <f>IF(DF$25&lt;&gt;$G$25,"",IF(DF$25=$G$25,IFERROR(VLOOKUP($E26,$H$26:$I$34,2,0),"")))</f>
        <v/>
      </c>
      <c r="DG26" s="1">
        <v>1</v>
      </c>
      <c r="DH26" s="1" t="str">
        <f>IF(DH$25&lt;&gt;$G$25,"",IF(DH$25=$G$25,IFERROR(VLOOKUP($E26,$H$26:$I$34,2,0),"")))</f>
        <v/>
      </c>
      <c r="DI26" s="1">
        <v>1</v>
      </c>
      <c r="DJ26" s="1" t="str">
        <f>IF(DJ$25&lt;&gt;$G$25,"",IF(DJ$25=$G$25,IFERROR(VLOOKUP($E26,$H$26:$I$34,2,0),"")))</f>
        <v/>
      </c>
      <c r="DK26" s="1">
        <v>1</v>
      </c>
      <c r="DL26" s="1" t="str">
        <f>IF(DL$25&lt;&gt;$G$25,"",IF(DL$25=$G$25,IFERROR(VLOOKUP($E26,$H$26:$I$34,2,0),"")))</f>
        <v/>
      </c>
      <c r="DM26" s="1">
        <v>1</v>
      </c>
      <c r="DN26" s="1" t="str">
        <f>IF(DN$25&lt;&gt;$G$25,"",IF(DN$25=$G$25,IFERROR(VLOOKUP($E26,$H$26:$I$34,2,0),"")))</f>
        <v/>
      </c>
    </row>
    <row r="27" spans="1:118" x14ac:dyDescent="0.25">
      <c r="A27" s="24">
        <f>D26-D27</f>
        <v>0</v>
      </c>
      <c r="B27" s="1" t="s">
        <v>67</v>
      </c>
      <c r="C27" s="39" t="str">
        <f>IF('INSCRIPTION DES JOUEURS'!I19="","",'INSCRIPTION DES JOUEURS'!I19)</f>
        <v/>
      </c>
      <c r="D27">
        <f>COUNTBLANK(C26:C28)</f>
        <v>3</v>
      </c>
      <c r="E27" s="1">
        <v>2</v>
      </c>
      <c r="F27" s="1" t="str">
        <f t="shared" ref="F27:F34" si="9">IF(G27="","",E27)</f>
        <v/>
      </c>
      <c r="G27" s="1" t="str">
        <f t="shared" ref="G27:G34" si="10">IF(C27="","",C27)</f>
        <v/>
      </c>
      <c r="H27" s="1" t="str">
        <f t="shared" si="4"/>
        <v/>
      </c>
      <c r="I27" s="1" t="str">
        <f t="shared" si="5"/>
        <v/>
      </c>
      <c r="J27" s="1" t="e">
        <f>'INSCRIPTION DES JOUEURS'!#REF!</f>
        <v>#REF!</v>
      </c>
      <c r="K27" s="1" t="str">
        <f t="shared" ref="K27:K34" si="11">IF(H27="","",IF(OR(H27=1,H27=2,H27=3),10000,IF(OR(H27=4,H27=5,H27=6),1000,100)))</f>
        <v/>
      </c>
      <c r="L27" s="1" t="e">
        <f t="shared" ref="L27:L34" si="12">IF(J27="","",J27+K27)</f>
        <v>#REF!</v>
      </c>
      <c r="M27" s="1" t="str">
        <f t="shared" ref="M27:M34" si="13">IFERROR(RANK(L27,$L$26:$L$34,0),"")</f>
        <v/>
      </c>
      <c r="N27" s="1" t="str">
        <f t="shared" ref="N27:N34" si="14">I27</f>
        <v/>
      </c>
      <c r="O27" s="1">
        <v>2</v>
      </c>
      <c r="P27" s="1" t="str">
        <f t="shared" ref="P27:P34" si="15">IFERROR(VLOOKUP(O27,$M$26:$O$34,2,0),"")</f>
        <v/>
      </c>
      <c r="Q27" s="1" t="str">
        <f>IFERROR(VLOOKUP(P27,LISTE!$Z$3:$AB$146,3,0),"")</f>
        <v/>
      </c>
      <c r="R27" s="1" t="str">
        <f t="shared" ref="R27:R34" si="16">IF(S27="","",O27)</f>
        <v/>
      </c>
      <c r="S27" s="1" t="str">
        <f>IF(AND($S$24=3,Q26=Q27),P26,IF(AND($S$24=3,Q26=Q28),P26,IF(AND($S$24=3,Q27=Q28),P27,IF(AND($S$24=6,Q27=Q28),P26,IF(AND($S$24=6,Q27=Q26),P26,IF(AND(S24=6,Q28=Q26),P26,P27))))))</f>
        <v/>
      </c>
      <c r="U27" s="1">
        <v>2</v>
      </c>
      <c r="W27" s="1">
        <v>2</v>
      </c>
      <c r="X27" s="1" t="str">
        <f t="shared" ref="X27:X34" si="17">IF(X$25&lt;&gt;$G$25,"",IF(X$25=$G$25,IFERROR(VLOOKUP($E27,$R$26:$S$34,2,0),"")))</f>
        <v/>
      </c>
      <c r="Y27" s="1">
        <v>2</v>
      </c>
      <c r="Z27" s="1" t="str">
        <f t="shared" ref="Z27:Z34" si="18">IF(Z$25&lt;&gt;$G$25,"",IF(Z$25=$G$25,IFERROR(VLOOKUP($E27,$H$26:$I$34,2,0),"")))</f>
        <v/>
      </c>
      <c r="AA27" s="1">
        <v>2</v>
      </c>
      <c r="AB27" s="1" t="str">
        <f t="shared" si="6"/>
        <v/>
      </c>
      <c r="AC27" s="1">
        <v>2</v>
      </c>
      <c r="AD27" s="1" t="str">
        <f t="shared" ref="AD27:AD34" si="19">IF(AD$25&lt;&gt;$G$25,"",IF(AD$25=$G$25,IFERROR(VLOOKUP($E27,$H$26:$I$34,2,0),"")))</f>
        <v/>
      </c>
      <c r="AE27" s="1">
        <v>3</v>
      </c>
      <c r="AF27" s="1" t="str">
        <f>IF(AF$25&lt;&gt;$G$25,"",IF(AF$25=$G$25,IFERROR(VLOOKUP($E28,$H$26:$I$34,2,0),"")))</f>
        <v/>
      </c>
      <c r="AG27" s="1">
        <v>3</v>
      </c>
      <c r="AH27" s="1" t="str">
        <f>IF(AH$25&lt;&gt;$G$25,"",IF(AH$25=$G$25,IFERROR(VLOOKUP($E28,$H$26:$I$34,2,0),"")))</f>
        <v/>
      </c>
      <c r="AI27" s="1">
        <v>2</v>
      </c>
      <c r="AJ27" s="1" t="str">
        <f t="shared" ref="AJ27:AJ34" si="20">IF(AJ$25&lt;&gt;$G$25,"",IF(AJ$25=$G$25,IFERROR(VLOOKUP($E27,$H$26:$I$34,2,0),"")))</f>
        <v/>
      </c>
      <c r="AK27" s="1">
        <v>2</v>
      </c>
      <c r="AL27" s="1" t="str">
        <f>IF(AL$25&lt;&gt;$G$25,"",IF(AL$25=$G$25,IFERROR(VLOOKUP($E27,$H$26:$I$34,2,0),"")))</f>
        <v/>
      </c>
      <c r="AM27" s="1">
        <v>2</v>
      </c>
      <c r="AN27" s="1" t="str">
        <f>IF(AN$25&lt;&gt;$G$25,"",IF(AN$25=$G$25,IFERROR(VLOOKUP($E27,$H$26:$I$34,2,0),"")))</f>
        <v/>
      </c>
      <c r="AO27" s="25">
        <v>3</v>
      </c>
      <c r="AP27" s="1" t="str">
        <f>IF(AP$25&lt;&gt;$G$25,"",IF(AP$25=$G$25,IFERROR(VLOOKUP($E28,$H$26:$I$34,2,0),"")))</f>
        <v/>
      </c>
      <c r="AQ27" s="1">
        <v>4</v>
      </c>
      <c r="AR27" s="1" t="str">
        <f>IF(AR$25&lt;&gt;$G$25,"",IF(AR$25=$G$25,IFERROR(VLOOKUP($E29,$H$26:$I$34,2,0),"")))</f>
        <v/>
      </c>
      <c r="AS27" s="1">
        <v>2</v>
      </c>
      <c r="AT27" s="1" t="str">
        <f>IF(AT$25&lt;&gt;$G$25,"",IF(AT$25=$G$25,IFERROR(VLOOKUP($E27,$H$26:$I$34,2,0),"")))</f>
        <v/>
      </c>
      <c r="AU27" s="1">
        <v>3</v>
      </c>
      <c r="AV27" s="1" t="str">
        <f>IF(AV$25&lt;&gt;$G$25,"",IF(AV$25=$G$25,IFERROR(VLOOKUP($E28,$H$26:$I$34,2,0),"")))</f>
        <v/>
      </c>
      <c r="AW27" s="1">
        <v>3</v>
      </c>
      <c r="AX27" s="1" t="str">
        <f>IF(AX$25&lt;&gt;$G$25,"",IF(AX$25=$G$25,IFERROR(VLOOKUP($E28,$H$26:$I$34,2,0),"")))</f>
        <v/>
      </c>
      <c r="AY27" s="1">
        <v>2</v>
      </c>
      <c r="AZ27" s="1" t="str">
        <f>IF(AZ$25&lt;&gt;$G$25,"",IF(AZ$25=$G$25,IFERROR(VLOOKUP($E27,$H$26:$I$34,2,0),"")))</f>
        <v/>
      </c>
      <c r="BA27" s="1">
        <v>3</v>
      </c>
      <c r="BB27" s="1" t="str">
        <f>IF(BB$25&lt;&gt;$G$25,"",IF(BB$25=$G$25,IFERROR(VLOOKUP($E28,$H$26:$I$34,2,0),"")))</f>
        <v/>
      </c>
      <c r="BC27" s="1">
        <v>2</v>
      </c>
      <c r="BD27" s="1" t="str">
        <f t="shared" ref="BD27:BD34" si="21">IF(BD$25&lt;&gt;$G$25,"",IF(BD$25=$G$25,IFERROR(VLOOKUP($E27,$H$26:$I$34,2,0),"")))</f>
        <v/>
      </c>
      <c r="BE27" s="1">
        <v>2</v>
      </c>
      <c r="BF27" s="1" t="str">
        <f t="shared" ref="BF27:BF34" si="22">IF(BF$25&lt;&gt;$G$25,"",IF(BF$25=$G$25,IFERROR(VLOOKUP($E27,$H$26:$I$34,2,0),"")))</f>
        <v/>
      </c>
      <c r="BG27" s="1">
        <v>2</v>
      </c>
      <c r="BH27" s="1" t="str">
        <f t="shared" ref="BH27:BH34" si="23">IF(BH$25&lt;&gt;$G$25,"",IF(BH$25=$G$25,IFERROR(VLOOKUP($E27,$H$26:$I$34,2,0),"")))</f>
        <v/>
      </c>
      <c r="BI27" s="1">
        <v>2</v>
      </c>
      <c r="BJ27" s="1" t="str">
        <f t="shared" ref="BJ27:BJ34" si="24">IF(BJ$25&lt;&gt;$G$25,"",IF(BJ$25=$G$25,IFERROR(VLOOKUP($E27,$H$26:$I$34,2,0),"")))</f>
        <v/>
      </c>
      <c r="BK27" s="1">
        <v>2</v>
      </c>
      <c r="BL27" s="1" t="str">
        <f t="shared" ref="BL27:BL34" si="25">IF(BL$25&lt;&gt;$G$25,"",IF(BL$25=$G$25,IFERROR(VLOOKUP($E27,$H$26:$I$34,2,0),"")))</f>
        <v/>
      </c>
      <c r="BM27" s="1">
        <v>2</v>
      </c>
      <c r="BN27" s="1" t="str">
        <f t="shared" ref="BN27:BN34" si="26">IF(BN$25&lt;&gt;$G$25,"",IF(BN$25=$G$25,IFERROR(VLOOKUP($E27,$H$26:$I$34,2,0),"")))</f>
        <v/>
      </c>
      <c r="BO27" s="1">
        <v>2</v>
      </c>
      <c r="BP27" s="1" t="str">
        <f>IF(BP$25&lt;&gt;$G$25,"",IF(BP$25=$G$25,IFERROR(VLOOKUP($E27,$H$26:$I$34,2,0),"")))</f>
        <v/>
      </c>
      <c r="BQ27" s="1">
        <v>3</v>
      </c>
      <c r="BR27" s="1" t="str">
        <f>IF(BR$25&lt;&gt;$G$25,"",IF(BR$25=$G$25,IFERROR(VLOOKUP($E28,$H$26:$I$34,2,0),"")))</f>
        <v/>
      </c>
      <c r="BS27" s="1">
        <v>3</v>
      </c>
      <c r="BT27" s="1" t="str">
        <f>IF(BT$25&lt;&gt;$G$25,"",IF(BT$25=$G$25,IFERROR(VLOOKUP($E28,$H$26:$I$34,2,0),"")))</f>
        <v/>
      </c>
      <c r="BU27" s="1">
        <v>2</v>
      </c>
      <c r="BV27" s="1" t="str">
        <f>IF(BV$25&lt;&gt;$G$25,"",IF(BV$25=$G$25,IFERROR(VLOOKUP($E27,$H$26:$I$34,2,0),"")))</f>
        <v/>
      </c>
      <c r="BW27" s="1">
        <v>2</v>
      </c>
      <c r="BX27" s="1" t="str">
        <f t="shared" si="7"/>
        <v/>
      </c>
      <c r="BY27" s="1">
        <v>2</v>
      </c>
      <c r="BZ27" s="1" t="str">
        <f>IF(BZ$25&lt;&gt;$G$25,"",IF(BZ$25=$G$25,IFERROR(VLOOKUP($E27,$H$26:$I$34,2,0),"")))</f>
        <v/>
      </c>
      <c r="CA27" s="1">
        <v>2</v>
      </c>
      <c r="CB27" s="1" t="str">
        <f t="shared" ref="CB27:CB34" si="27">IF(CB$25&lt;&gt;$G$25,"",IF(CB$25=$G$25,IFERROR(VLOOKUP($E27,$H$26:$I$34,2,0),"")))</f>
        <v/>
      </c>
      <c r="CC27" s="1">
        <v>2</v>
      </c>
      <c r="CD27" s="1" t="str">
        <f t="shared" ref="CD27:CD34" si="28">IF(CD$25&lt;&gt;$G$25,"",IF(CD$25=$G$25,IFERROR(VLOOKUP($E27,$H$26:$I$34,2,0),"")))</f>
        <v/>
      </c>
      <c r="CE27" s="1">
        <v>2</v>
      </c>
      <c r="CF27" s="1" t="str">
        <f t="shared" ref="CF27:CF34" si="29">IF(CF$25&lt;&gt;$G$25,"",IF(CF$25=$G$25,IFERROR(VLOOKUP($E27,$H$26:$I$34,2,0),"")))</f>
        <v/>
      </c>
      <c r="CG27" s="1">
        <v>2</v>
      </c>
      <c r="CH27" s="1" t="str">
        <f>IF(CH$25&lt;&gt;$G$25,"",IF(CH$25=$G$25,IFERROR(VLOOKUP($E27,$H$26:$I$34,2,0),"")))</f>
        <v/>
      </c>
      <c r="CI27" s="1">
        <v>2</v>
      </c>
      <c r="CJ27" s="1" t="str">
        <f>IF(CJ$25&lt;&gt;$G$25,"",IF(CJ$25=$G$25,IFERROR(VLOOKUP($E27,$H$26:$I$34,2,0),"")))</f>
        <v/>
      </c>
      <c r="CK27" s="1">
        <v>2</v>
      </c>
      <c r="CL27" s="1" t="str">
        <f>IF(CL$25&lt;&gt;$G$25,"",IF(CL$25=$G$25,IFERROR(VLOOKUP($E27,$H$26:$I$34,2,0),"")))</f>
        <v/>
      </c>
      <c r="CM27" s="1">
        <v>2</v>
      </c>
      <c r="CN27" s="1" t="str">
        <f>IF(CN$25&lt;&gt;$G$25,"",IF(CN$25=$G$25,IFERROR(VLOOKUP($E27,$H$26:$I$34,2,0),"")))</f>
        <v/>
      </c>
      <c r="CO27" s="1">
        <v>3</v>
      </c>
      <c r="CP27" s="1" t="str">
        <f>IF(CP$25&lt;&gt;$G$25,"",IF(CP$25=$G$25,IFERROR(VLOOKUP($E28,$H$26:$I$34,2,0),"")))</f>
        <v/>
      </c>
      <c r="CQ27" s="1">
        <v>2</v>
      </c>
      <c r="CR27" s="1" t="str">
        <f t="shared" ref="CR27:CR34" si="30">IF(CR$25&lt;&gt;$G$25,"",IF(CR$25=$G$25,IFERROR(VLOOKUP($E27,$R$26:$S$34,2,0),"")))</f>
        <v/>
      </c>
      <c r="CS27" s="1">
        <v>2</v>
      </c>
      <c r="CT27" s="1" t="str">
        <f t="shared" si="8"/>
        <v/>
      </c>
      <c r="CU27" s="1">
        <v>2</v>
      </c>
      <c r="CV27" s="1" t="str">
        <f t="shared" ref="CV27:CV32" si="31">IF(CV$25&lt;&gt;$G$25,"",IF(CV$25=$G$25,IFERROR(VLOOKUP($E27,$H$26:$I$34,2,0),"")))</f>
        <v/>
      </c>
      <c r="CW27" s="1">
        <v>3</v>
      </c>
      <c r="CX27" s="1" t="str">
        <f>IF(CX$25&lt;&gt;$G$25,"",IF(CX$25=$G$25,IFERROR(VLOOKUP($E28,$H$26:$I$34,2,0),"")))</f>
        <v/>
      </c>
      <c r="CY27" s="1">
        <v>2</v>
      </c>
      <c r="CZ27" s="1" t="str">
        <f>IF(CZ$25&lt;&gt;$G$25,"",IF(CZ$25=$G$25,IFERROR(VLOOKUP($E27,$H$26:$I$34,2,0),"")))</f>
        <v/>
      </c>
      <c r="DA27" s="1">
        <v>2</v>
      </c>
      <c r="DB27" s="1" t="str">
        <f>IF(DB$25&lt;&gt;$G$25,"",IF(DB$25=$G$25,IFERROR(VLOOKUP($E27,$H$26:$I$34,2,0),"")))</f>
        <v/>
      </c>
      <c r="DC27" s="1">
        <v>2</v>
      </c>
      <c r="DD27" s="1" t="str">
        <f>IF(DD$25&lt;&gt;$G$25,"",IF(DD$25=$G$25,IFERROR(VLOOKUP($E27,$H$26:$I$34,2,0),"")))</f>
        <v/>
      </c>
      <c r="DE27" s="25">
        <v>6</v>
      </c>
      <c r="DF27" s="1" t="str">
        <f>IF(DF$25&lt;&gt;$G$25,"",IF(DF$25=$G$25,IFERROR(VLOOKUP($E31,$H$26:$I$34,2,0),"")))</f>
        <v/>
      </c>
      <c r="DG27" s="1">
        <v>2</v>
      </c>
      <c r="DH27" s="1" t="str">
        <f t="shared" ref="DH27:DH34" si="32">IF(DH$25&lt;&gt;$G$25,"",IF(DH$25=$G$25,IFERROR(VLOOKUP($E27,$H$26:$I$34,2,0),"")))</f>
        <v/>
      </c>
      <c r="DI27" s="1">
        <v>2</v>
      </c>
      <c r="DJ27" s="1" t="str">
        <f>IF(DJ$25&lt;&gt;$G$25,"",IF(DJ$25=$G$25,IFERROR(VLOOKUP($E27,$H$26:$I$34,2,0),"")))</f>
        <v/>
      </c>
      <c r="DK27" s="1">
        <v>2</v>
      </c>
      <c r="DL27" s="1" t="str">
        <f>IF(DL$25&lt;&gt;$G$25,"",IF(DL$25=$G$25,IFERROR(VLOOKUP($E27,$H$26:$I$34,2,0),"")))</f>
        <v/>
      </c>
      <c r="DM27" s="1">
        <v>2</v>
      </c>
      <c r="DN27" s="1" t="str">
        <f t="shared" ref="DN27:DN34" si="33">IF(DN$25&lt;&gt;$G$25,"",IF(DN$25=$G$25,IFERROR(VLOOKUP($E27,$H$26:$I$34,2,0),"")))</f>
        <v/>
      </c>
    </row>
    <row r="28" spans="1:118" ht="15.75" thickBot="1" x14ac:dyDescent="0.3">
      <c r="B28" s="1" t="s">
        <v>68</v>
      </c>
      <c r="C28" s="60" t="str">
        <f>IF('INSCRIPTION DES JOUEURS'!I20="","",'INSCRIPTION DES JOUEURS'!I20)</f>
        <v/>
      </c>
      <c r="D28"/>
      <c r="E28" s="1">
        <v>3</v>
      </c>
      <c r="F28" s="1" t="str">
        <f t="shared" si="9"/>
        <v/>
      </c>
      <c r="G28" s="1" t="str">
        <f t="shared" si="10"/>
        <v/>
      </c>
      <c r="H28" s="1" t="str">
        <f t="shared" si="4"/>
        <v/>
      </c>
      <c r="I28" s="1" t="str">
        <f t="shared" si="5"/>
        <v/>
      </c>
      <c r="J28" s="1" t="e">
        <f>'INSCRIPTION DES JOUEURS'!#REF!</f>
        <v>#REF!</v>
      </c>
      <c r="K28" s="1" t="str">
        <f t="shared" si="11"/>
        <v/>
      </c>
      <c r="L28" s="1" t="e">
        <f t="shared" si="12"/>
        <v>#REF!</v>
      </c>
      <c r="M28" s="1" t="str">
        <f>IFERROR(RANK(L28,$L$26:$L$34,0),"")</f>
        <v/>
      </c>
      <c r="N28" s="1" t="str">
        <f t="shared" si="14"/>
        <v/>
      </c>
      <c r="O28" s="1">
        <v>3</v>
      </c>
      <c r="P28" s="1" t="str">
        <f t="shared" si="15"/>
        <v/>
      </c>
      <c r="Q28" s="1" t="str">
        <f>IFERROR(VLOOKUP(P28,LISTE!$Z$3:$AB$146,3,0),"")</f>
        <v/>
      </c>
      <c r="R28" s="1" t="str">
        <f t="shared" si="16"/>
        <v/>
      </c>
      <c r="S28" s="1" t="str">
        <f>IF(AND($S$24=3,Q26=Q27),P27,IF(AND($S$24=3,Q26=Q28),P28,IF(AND($S$24=3,Q27=Q28),P28,IF(AND($S$24=6,Q28=Q26),P28,IF(AND($S$24=6,Q28=Q27),P28,IF(AND($S$24=6,Q27=Q26),P27,P28))))))</f>
        <v/>
      </c>
      <c r="U28" s="1">
        <v>3</v>
      </c>
      <c r="W28" s="1">
        <v>3</v>
      </c>
      <c r="X28" s="1" t="str">
        <f t="shared" si="17"/>
        <v/>
      </c>
      <c r="Y28" s="1">
        <v>3</v>
      </c>
      <c r="Z28" s="1" t="str">
        <f t="shared" si="18"/>
        <v/>
      </c>
      <c r="AA28" s="1">
        <v>3</v>
      </c>
      <c r="AB28" s="1" t="str">
        <f t="shared" si="6"/>
        <v/>
      </c>
      <c r="AC28" s="1">
        <v>3</v>
      </c>
      <c r="AD28" s="1" t="str">
        <f t="shared" si="19"/>
        <v/>
      </c>
      <c r="AE28" s="25">
        <v>5</v>
      </c>
      <c r="AF28" s="1" t="str">
        <f>IF(AF$25&lt;&gt;$G$25,"",IF(AF$25=$G$25,IFERROR(VLOOKUP($E30,$H$26:$I$34,2,0),"")))</f>
        <v/>
      </c>
      <c r="AG28" s="1">
        <v>5</v>
      </c>
      <c r="AH28" s="1" t="str">
        <f>IF(AH$25&lt;&gt;$G$25,"",IF(AH$25=$G$25,IFERROR(VLOOKUP($E30,$H$26:$I$34,2,0),"")))</f>
        <v/>
      </c>
      <c r="AI28" s="25">
        <v>5</v>
      </c>
      <c r="AJ28" s="1" t="str">
        <f>IF(AJ$25&lt;&gt;$G$25,"",IF(AJ$25=$G$25,IFERROR(VLOOKUP($E30,$H$26:$I$34,2,0),"")))</f>
        <v/>
      </c>
      <c r="AK28" s="1">
        <v>5</v>
      </c>
      <c r="AL28" s="1" t="str">
        <f>IF(AL$25&lt;&gt;$G$25,"",IF(AL$25=$G$25,IFERROR(VLOOKUP($E30,$H$26:$I$34,2,0),"")))</f>
        <v/>
      </c>
      <c r="AM28" s="1">
        <v>5</v>
      </c>
      <c r="AN28" s="1" t="str">
        <f>IF(AN$25&lt;&gt;$G$25,"",IF(AN$25=$G$25,IFERROR(VLOOKUP($E30,$H$26:$I$34,2,0),"")))</f>
        <v/>
      </c>
      <c r="AO28" s="25">
        <v>5</v>
      </c>
      <c r="AP28" s="1" t="str">
        <f>IF(AP$25&lt;&gt;$G$25,"",IF(AP$25=$G$25,IFERROR(VLOOKUP($E30,$H$26:$I$34,2,0),"")))</f>
        <v/>
      </c>
      <c r="AQ28" s="1">
        <v>5</v>
      </c>
      <c r="AR28" s="1" t="str">
        <f>IF(AR$25&lt;&gt;$G$25,"",IF(AR$25=$G$25,IFERROR(VLOOKUP($E30,$H$26:$I$34,2,0),"")))</f>
        <v/>
      </c>
      <c r="AS28" s="1">
        <v>5</v>
      </c>
      <c r="AT28" s="1" t="str">
        <f>IF(AT$25&lt;&gt;$G$25,"",IF(AT$25=$G$25,IFERROR(VLOOKUP($E30,$H$26:$I$34,2,0),"")))</f>
        <v/>
      </c>
      <c r="AU28" s="1">
        <v>5</v>
      </c>
      <c r="AV28" s="1" t="str">
        <f>IF(AV$25&lt;&gt;$G$25,"",IF(AV$25=$G$25,IFERROR(VLOOKUP($E30,$H$26:$I$34,2,0),"")))</f>
        <v/>
      </c>
      <c r="AW28" s="1">
        <v>5</v>
      </c>
      <c r="AX28" s="1" t="str">
        <f>IF(AX$25&lt;&gt;$G$25,"",IF(AX$25=$G$25,IFERROR(VLOOKUP($E30,$H$26:$I$34,2,0),"")))</f>
        <v/>
      </c>
      <c r="AY28" s="1">
        <v>5</v>
      </c>
      <c r="AZ28" s="1" t="str">
        <f>IF(AZ$25&lt;&gt;$G$25,"",IF(AZ$25=$G$25,IFERROR(VLOOKUP($E30,$H$26:$I$34,2,0),"")))</f>
        <v/>
      </c>
      <c r="BA28" s="1">
        <v>5</v>
      </c>
      <c r="BB28" s="1" t="str">
        <f>IF(BB$25&lt;&gt;$G$25,"",IF(BB$25=$G$25,IFERROR(VLOOKUP($E30,$H$26:$I$34,2,0),"")))</f>
        <v/>
      </c>
      <c r="BC28" s="1">
        <v>3</v>
      </c>
      <c r="BD28" s="1" t="str">
        <f t="shared" si="21"/>
        <v/>
      </c>
      <c r="BE28" s="1">
        <v>3</v>
      </c>
      <c r="BF28" s="1" t="str">
        <f t="shared" si="22"/>
        <v/>
      </c>
      <c r="BG28" s="1">
        <v>3</v>
      </c>
      <c r="BH28" s="1" t="str">
        <f t="shared" si="23"/>
        <v/>
      </c>
      <c r="BI28" s="25">
        <v>6</v>
      </c>
      <c r="BJ28" s="1" t="str">
        <f>IF(BJ$25&lt;&gt;$G$25,"",IF(BJ$25=$G$25,IFERROR(VLOOKUP($E31,$H$26:$I$34,2,0),"")))</f>
        <v/>
      </c>
      <c r="BK28" s="1">
        <v>5</v>
      </c>
      <c r="BL28" s="1" t="str">
        <f>IF(BL$25&lt;&gt;$G$25,"",IF(BL$25=$G$25,IFERROR(VLOOKUP($E30,$H$26:$I$34,2,0),"")))</f>
        <v/>
      </c>
      <c r="BM28" s="1">
        <v>3</v>
      </c>
      <c r="BN28" s="1" t="str">
        <f t="shared" si="26"/>
        <v/>
      </c>
      <c r="BO28" s="1">
        <v>6</v>
      </c>
      <c r="BP28" s="1" t="str">
        <f>IF(BP$25&lt;&gt;$G$25,"",IF(BP$25=$G$25,IFERROR(VLOOKUP($E31,$H$26:$I$34,2,0),"")))</f>
        <v/>
      </c>
      <c r="BQ28" s="1">
        <v>4</v>
      </c>
      <c r="BR28" s="1" t="str">
        <f>IF(BR$25&lt;&gt;$G$25,"",IF(BR$25=$G$25,IFERROR(VLOOKUP($E29,$H$26:$I$34,2,0),"")))</f>
        <v/>
      </c>
      <c r="BS28" s="25">
        <v>6</v>
      </c>
      <c r="BT28" s="1" t="str">
        <f>IF(BT$25&lt;&gt;$G$25,"",IF(BT$25=$G$25,IFERROR(VLOOKUP($E31,$H$26:$I$34,2,0),"")))</f>
        <v/>
      </c>
      <c r="BU28" s="1">
        <v>6</v>
      </c>
      <c r="BV28" s="1" t="str">
        <f>IF(BV$25&lt;&gt;$G$25,"",IF(BV$25=$G$25,IFERROR(VLOOKUP($E31,$H$26:$I$34,2,0),"")))</f>
        <v/>
      </c>
      <c r="BW28" s="1">
        <v>3</v>
      </c>
      <c r="BX28" s="1" t="str">
        <f t="shared" si="7"/>
        <v/>
      </c>
      <c r="BY28" s="1">
        <v>6</v>
      </c>
      <c r="BZ28" s="1" t="str">
        <f>IF(BZ$25&lt;&gt;$G$25,"",IF(BZ$25=$G$25,IFERROR(VLOOKUP($E31,$H$26:$I$34,2,0),"")))</f>
        <v/>
      </c>
      <c r="CA28" s="1">
        <v>3</v>
      </c>
      <c r="CB28" s="1" t="str">
        <f t="shared" si="27"/>
        <v/>
      </c>
      <c r="CC28" s="1">
        <v>3</v>
      </c>
      <c r="CD28" s="1" t="str">
        <f t="shared" si="28"/>
        <v/>
      </c>
      <c r="CE28" s="1">
        <v>3</v>
      </c>
      <c r="CF28" s="1" t="str">
        <f t="shared" si="29"/>
        <v/>
      </c>
      <c r="CG28" s="1">
        <v>3</v>
      </c>
      <c r="CH28" s="1" t="str">
        <f t="shared" ref="CH28:CH34" si="34">IF(CH$25&lt;&gt;$G$25,"",IF(CH$25=$G$25,IFERROR(VLOOKUP($E28,$H$26:$I$34,2,0),"")))</f>
        <v/>
      </c>
      <c r="CI28" s="25">
        <v>6</v>
      </c>
      <c r="CJ28" s="1" t="str">
        <f>IF(CJ$25&lt;&gt;$G$25,"",IF(CJ$25=$G$25,IFERROR(VLOOKUP($E31,$H$26:$I$34,2,0),"")))</f>
        <v/>
      </c>
      <c r="CK28" s="25">
        <v>5</v>
      </c>
      <c r="CL28" s="1" t="str">
        <f>IF(CL$25&lt;&gt;$G$25,"",IF(CL$25=$G$25,IFERROR(VLOOKUP($E30,$H$26:$I$34,2,0),"")))</f>
        <v/>
      </c>
      <c r="CM28" s="1">
        <v>3</v>
      </c>
      <c r="CN28" s="1" t="str">
        <f t="shared" ref="CN28:CN34" si="35">IF(CN$25&lt;&gt;$G$25,"",IF(CN$25=$G$25,IFERROR(VLOOKUP($E28,$H$26:$I$34,2,0),"")))</f>
        <v/>
      </c>
      <c r="CO28" s="1">
        <v>4</v>
      </c>
      <c r="CP28" s="1" t="str">
        <f>IF(CP$25&lt;&gt;$G$25,"",IF(CP$25=$G$25,IFERROR(VLOOKUP($E29,$H$26:$I$34,2,0),"")))</f>
        <v/>
      </c>
      <c r="CQ28" s="1">
        <v>3</v>
      </c>
      <c r="CR28" s="1" t="str">
        <f t="shared" si="30"/>
        <v/>
      </c>
      <c r="CS28" s="1">
        <v>3</v>
      </c>
      <c r="CT28" s="1" t="str">
        <f t="shared" si="8"/>
        <v/>
      </c>
      <c r="CU28" s="1">
        <v>3</v>
      </c>
      <c r="CV28" s="1" t="str">
        <f t="shared" si="31"/>
        <v/>
      </c>
      <c r="CW28" s="1">
        <v>8</v>
      </c>
      <c r="CX28" s="1" t="str">
        <f>IF(CX$25&lt;&gt;$G$25,"",IF(CX$25=$G$25,IFERROR(VLOOKUP($E33,$H$26:$I$34,2,0),"")))</f>
        <v/>
      </c>
      <c r="CY28" s="1">
        <v>3</v>
      </c>
      <c r="CZ28" s="1" t="str">
        <f>IF(CZ$25&lt;&gt;$G$25,"",IF(CZ$25=$G$25,IFERROR(VLOOKUP($E28,$H$26:$I$34,2,0),"")))</f>
        <v/>
      </c>
      <c r="DA28" s="1">
        <v>8</v>
      </c>
      <c r="DB28" s="1" t="str">
        <f>IF(DB$25&lt;&gt;$G$25,"",IF(DB$25=$G$25,IFERROR(VLOOKUP($E33,$H$26:$I$34,2,0),"")))</f>
        <v/>
      </c>
      <c r="DC28" s="1">
        <v>8</v>
      </c>
      <c r="DD28" s="1" t="str">
        <f>IF(DD$25&lt;&gt;$G$25,"",IF(DD$25=$G$25,IFERROR(VLOOKUP($E33,$H$26:$I$34,2,0),"")))</f>
        <v/>
      </c>
      <c r="DE28" s="1">
        <v>8</v>
      </c>
      <c r="DF28" s="1" t="str">
        <f>IF(DF$25&lt;&gt;$G$25,"",IF(DF$25=$G$25,IFERROR(VLOOKUP($E33,$H$26:$I$34,2,0),"")))</f>
        <v/>
      </c>
      <c r="DG28" s="1">
        <v>3</v>
      </c>
      <c r="DH28" s="1" t="str">
        <f t="shared" si="32"/>
        <v/>
      </c>
      <c r="DI28" s="1">
        <v>3</v>
      </c>
      <c r="DJ28" s="1" t="str">
        <f>IF(DJ$25&lt;&gt;$G$25,"",IF(DJ$25=$G$25,IFERROR(VLOOKUP($E28,$H$26:$I$34,2,0),"")))</f>
        <v/>
      </c>
      <c r="DK28" s="25">
        <v>9</v>
      </c>
      <c r="DL28" s="1" t="str">
        <f>IF(DL$25&lt;&gt;$G$25,"",IF(DL$25=$G$25,IFERROR(VLOOKUP($E34,$H$26:$I$34,2,0),"")))</f>
        <v/>
      </c>
      <c r="DM28" s="1">
        <v>3</v>
      </c>
      <c r="DN28" s="1" t="str">
        <f t="shared" si="33"/>
        <v/>
      </c>
    </row>
    <row r="29" spans="1:118" x14ac:dyDescent="0.25">
      <c r="A29" s="1" t="str">
        <f>A9</f>
        <v>POULE 2</v>
      </c>
      <c r="B29" s="1" t="s">
        <v>66</v>
      </c>
      <c r="C29" s="43" t="str">
        <f>IF('INSCRIPTION DES JOUEURS'!I23="","",'INSCRIPTION DES JOUEURS'!I23)</f>
        <v/>
      </c>
      <c r="D29" s="24">
        <f>COUNTA(C29:C31)</f>
        <v>3</v>
      </c>
      <c r="E29" s="1">
        <v>4</v>
      </c>
      <c r="F29" s="1" t="str">
        <f t="shared" si="9"/>
        <v/>
      </c>
      <c r="G29" s="1" t="str">
        <f t="shared" si="10"/>
        <v/>
      </c>
      <c r="H29" s="1" t="str">
        <f t="shared" si="4"/>
        <v/>
      </c>
      <c r="I29" s="1" t="str">
        <f t="shared" si="5"/>
        <v/>
      </c>
      <c r="J29" s="1" t="e">
        <f>'INSCRIPTION DES JOUEURS'!#REF!</f>
        <v>#REF!</v>
      </c>
      <c r="K29" s="1" t="str">
        <f t="shared" si="11"/>
        <v/>
      </c>
      <c r="L29" s="1" t="e">
        <f t="shared" si="12"/>
        <v>#REF!</v>
      </c>
      <c r="M29" s="1" t="str">
        <f t="shared" si="13"/>
        <v/>
      </c>
      <c r="N29" s="1" t="str">
        <f t="shared" si="14"/>
        <v/>
      </c>
      <c r="O29" s="1">
        <v>4</v>
      </c>
      <c r="P29" s="1" t="str">
        <f t="shared" si="15"/>
        <v/>
      </c>
      <c r="Q29" s="1" t="str">
        <f>IFERROR(VLOOKUP(P29,LISTE!$Z$3:$AB$146,3,0),"")</f>
        <v/>
      </c>
      <c r="R29" s="1" t="str">
        <f t="shared" si="16"/>
        <v/>
      </c>
      <c r="S29" s="1" t="str">
        <f>IF(AND(S27=6,Q29=Q30),P31,IF(AND(S27=6,Q29=Q31),P30,IF(AND(S27=6,Q30=Q31),P29,P29)))</f>
        <v/>
      </c>
      <c r="U29" s="1">
        <v>4</v>
      </c>
      <c r="W29" s="1">
        <v>4</v>
      </c>
      <c r="X29" s="1" t="str">
        <f t="shared" si="17"/>
        <v/>
      </c>
      <c r="Y29" s="1">
        <v>4</v>
      </c>
      <c r="Z29" s="1" t="str">
        <f t="shared" si="18"/>
        <v/>
      </c>
      <c r="AA29" s="1">
        <v>4</v>
      </c>
      <c r="AB29" s="1" t="str">
        <f t="shared" si="6"/>
        <v/>
      </c>
      <c r="AC29" s="1">
        <v>4</v>
      </c>
      <c r="AD29" s="1" t="str">
        <f t="shared" si="19"/>
        <v/>
      </c>
      <c r="AE29" s="1">
        <v>4</v>
      </c>
      <c r="AF29" s="1" t="str">
        <f t="shared" ref="AF29:AF34" si="36">IF(AF$25&lt;&gt;$G$25,"",IF(AF$25=$G$25,IFERROR(VLOOKUP($E29,$H$26:$I$34,2,0),"")))</f>
        <v/>
      </c>
      <c r="AG29" s="1">
        <v>2</v>
      </c>
      <c r="AH29" s="1" t="str">
        <f>IF(AH$25&lt;&gt;$G$25,"",IF(AH$25=$G$25,IFERROR(VLOOKUP($E27,$H$26:$I$34,2,0),"")))</f>
        <v/>
      </c>
      <c r="AI29" s="1">
        <v>3</v>
      </c>
      <c r="AJ29" s="1" t="str">
        <f>IF(AJ$25&lt;&gt;$G$25,"",IF(AJ$25=$G$25,IFERROR(VLOOKUP($E28,$H$26:$I$34,2,0),"")))</f>
        <v/>
      </c>
      <c r="AK29" s="1">
        <v>3</v>
      </c>
      <c r="AL29" s="1" t="str">
        <f>IF(AL$25&lt;&gt;$G$25,"",IF(AL$25=$G$25,IFERROR(VLOOKUP($E28,$H$26:$I$34,2,0),"")))</f>
        <v/>
      </c>
      <c r="AM29" s="1">
        <v>3</v>
      </c>
      <c r="AN29" s="1" t="str">
        <f>IF(AN$25&lt;&gt;$G$25,"",IF(AN$25=$G$25,IFERROR(VLOOKUP($E28,$H$26:$I$34,2,0),"")))</f>
        <v/>
      </c>
      <c r="AO29" s="31">
        <v>2</v>
      </c>
      <c r="AP29" s="1" t="str">
        <f>IF(AP$25&lt;&gt;$G$25,"",IF(AP$25=$G$25,IFERROR(VLOOKUP($E27,$H$26:$I$34,2,0),"")))</f>
        <v/>
      </c>
      <c r="AQ29" s="1">
        <v>2</v>
      </c>
      <c r="AR29" s="1" t="str">
        <f>IF(AR$25&lt;&gt;$G$25,"",IF(AR$25=$G$25,IFERROR(VLOOKUP($E27,$H$26:$I$34,2,0),"")))</f>
        <v/>
      </c>
      <c r="AS29" s="1">
        <v>3</v>
      </c>
      <c r="AT29" s="1" t="str">
        <f>IF(AT$25&lt;&gt;$G$25,"",IF(AT$25=$G$25,IFERROR(VLOOKUP($E28,$H$26:$I$34,2,0),"")))</f>
        <v/>
      </c>
      <c r="AU29" s="1">
        <v>2</v>
      </c>
      <c r="AV29" s="1" t="str">
        <f>IF(AV$25&lt;&gt;$G$25,"",IF(AV$25=$G$25,IFERROR(VLOOKUP($E27,$H$26:$I$34,2,0),"")))</f>
        <v/>
      </c>
      <c r="AW29" s="1">
        <v>2</v>
      </c>
      <c r="AX29" s="1" t="str">
        <f>IF(AX$25&lt;&gt;$G$25,"",IF(AX$25=$G$25,IFERROR(VLOOKUP($E27,$H$26:$I$34,2,0),"")))</f>
        <v/>
      </c>
      <c r="AY29" s="1">
        <v>3</v>
      </c>
      <c r="AZ29" s="1" t="str">
        <f>IF(AZ$25&lt;&gt;$G$25,"",IF(AZ$25=$G$25,IFERROR(VLOOKUP($E28,$H$26:$I$34,2,0),"")))</f>
        <v/>
      </c>
      <c r="BA29" s="1">
        <v>2</v>
      </c>
      <c r="BB29" s="1" t="str">
        <f>IF(BB$25&lt;&gt;$G$25,"",IF(BB$25=$G$25,IFERROR(VLOOKUP($E27,$H$26:$I$34,2,0),"")))</f>
        <v/>
      </c>
      <c r="BC29" s="1">
        <v>4</v>
      </c>
      <c r="BD29" s="1" t="str">
        <f t="shared" si="21"/>
        <v/>
      </c>
      <c r="BE29" s="1">
        <v>4</v>
      </c>
      <c r="BF29" s="1" t="str">
        <f t="shared" si="22"/>
        <v/>
      </c>
      <c r="BG29" s="1">
        <v>4</v>
      </c>
      <c r="BH29" s="1" t="str">
        <f t="shared" si="23"/>
        <v/>
      </c>
      <c r="BI29" s="1">
        <v>3</v>
      </c>
      <c r="BJ29" s="1" t="str">
        <f>IF(BJ$25&lt;&gt;$G$25,"",IF(BJ$25=$G$25,IFERROR(VLOOKUP($E28,$H$26:$I$34,2,0),"")))</f>
        <v/>
      </c>
      <c r="BK29" s="1">
        <v>3</v>
      </c>
      <c r="BL29" s="1" t="str">
        <f>IF(BL$25&lt;&gt;$G$25,"",IF(BL$25=$G$25,IFERROR(VLOOKUP($E28,$H$26:$I$34,2,0),"")))</f>
        <v/>
      </c>
      <c r="BM29" s="1">
        <v>4</v>
      </c>
      <c r="BN29" s="1" t="str">
        <f t="shared" si="26"/>
        <v/>
      </c>
      <c r="BO29" s="1">
        <v>3</v>
      </c>
      <c r="BP29" s="1" t="str">
        <f>IF(BP$25&lt;&gt;$G$25,"",IF(BP$25=$G$25,IFERROR(VLOOKUP($E28,$H$26:$I$34,2,0),"")))</f>
        <v/>
      </c>
      <c r="BQ29" s="1">
        <v>1</v>
      </c>
      <c r="BR29" s="1" t="str">
        <f>IF(BR$25&lt;&gt;$G$25,"",IF(BR$25=$G$25,IFERROR(VLOOKUP($E26,$H$26:$I$34,2,0),"")))</f>
        <v/>
      </c>
      <c r="BS29" s="1">
        <v>4</v>
      </c>
      <c r="BT29" s="1" t="str">
        <f t="shared" ref="BT29:BT34" si="37">IF(BT$25&lt;&gt;$G$25,"",IF(BT$25=$G$25,IFERROR(VLOOKUP($E29,$H$26:$I$34,2,0),"")))</f>
        <v/>
      </c>
      <c r="BU29" s="1">
        <v>3</v>
      </c>
      <c r="BV29" s="1" t="str">
        <f>IF(BV$25&lt;&gt;$G$25,"",IF(BV$25=$G$25,IFERROR(VLOOKUP($E28,$H$26:$I$34,2,0),"")))</f>
        <v/>
      </c>
      <c r="BW29" s="1">
        <v>4</v>
      </c>
      <c r="BX29" s="1" t="str">
        <f t="shared" si="7"/>
        <v/>
      </c>
      <c r="BY29" s="1">
        <v>3</v>
      </c>
      <c r="BZ29" s="1" t="str">
        <f>IF(BZ$25&lt;&gt;$G$25,"",IF(BZ$25=$G$25,IFERROR(VLOOKUP($E28,$H$26:$I$34,2,0),"")))</f>
        <v/>
      </c>
      <c r="CA29" s="1">
        <v>4</v>
      </c>
      <c r="CB29" s="1" t="str">
        <f t="shared" si="27"/>
        <v/>
      </c>
      <c r="CC29" s="1">
        <v>4</v>
      </c>
      <c r="CD29" s="1" t="str">
        <f t="shared" si="28"/>
        <v/>
      </c>
      <c r="CE29" s="1">
        <v>4</v>
      </c>
      <c r="CF29" s="1" t="str">
        <f t="shared" si="29"/>
        <v/>
      </c>
      <c r="CG29" s="1">
        <v>4</v>
      </c>
      <c r="CH29" s="1" t="str">
        <f t="shared" si="34"/>
        <v/>
      </c>
      <c r="CI29" s="1">
        <v>3</v>
      </c>
      <c r="CJ29" s="1" t="str">
        <f>IF(CJ$25&lt;&gt;$G$25,"",IF(CJ$25=$G$25,IFERROR(VLOOKUP($E28,$H$26:$I$34,2,0),"")))</f>
        <v/>
      </c>
      <c r="CK29" s="1">
        <v>3</v>
      </c>
      <c r="CL29" s="1" t="str">
        <f>IF(CL$25&lt;&gt;$G$25,"",IF(CL$25=$G$25,IFERROR(VLOOKUP($E28,$H$26:$I$34,2,0),"")))</f>
        <v/>
      </c>
      <c r="CM29" s="1">
        <v>4</v>
      </c>
      <c r="CN29" s="1" t="str">
        <f t="shared" si="35"/>
        <v/>
      </c>
      <c r="CO29" s="1">
        <v>1</v>
      </c>
      <c r="CP29" s="1" t="str">
        <f>IF(CP$25&lt;&gt;$G$25,"",IF(CP$25=$G$25,IFERROR(VLOOKUP($E26,$H$26:$I$34,2,0),"")))</f>
        <v/>
      </c>
      <c r="CQ29" s="1">
        <v>4</v>
      </c>
      <c r="CR29" s="1" t="str">
        <f t="shared" si="30"/>
        <v/>
      </c>
      <c r="CS29" s="1">
        <v>4</v>
      </c>
      <c r="CT29" s="1" t="str">
        <f t="shared" si="8"/>
        <v/>
      </c>
      <c r="CU29" s="1">
        <v>4</v>
      </c>
      <c r="CV29" s="1" t="str">
        <f t="shared" si="31"/>
        <v/>
      </c>
      <c r="CW29" s="1">
        <v>4</v>
      </c>
      <c r="CX29" s="1" t="str">
        <f>IF(CX$25&lt;&gt;$G$25,"",IF(CX$25=$G$25,IFERROR(VLOOKUP($E29,$H$26:$I$34,2,0),"")))</f>
        <v/>
      </c>
      <c r="CY29" s="1">
        <v>4</v>
      </c>
      <c r="CZ29" s="1" t="str">
        <f>IF(CZ$25&lt;&gt;$G$25,"",IF(CZ$25=$G$25,IFERROR(VLOOKUP($E29,$H$26:$I$34,2,0),"")))</f>
        <v/>
      </c>
      <c r="DA29" s="1">
        <v>3</v>
      </c>
      <c r="DB29" s="1" t="str">
        <f>IF(DB$25&lt;&gt;$G$25,"",IF(DB$25=$G$25,IFERROR(VLOOKUP($E28,$H$26:$I$34,2,0),"")))</f>
        <v/>
      </c>
      <c r="DC29" s="1">
        <v>3</v>
      </c>
      <c r="DD29" s="1" t="str">
        <f>IF(DD$25&lt;&gt;$G$25,"",IF(DD$25=$G$25,IFERROR(VLOOKUP($E28,$H$26:$I$34,2,0),"")))</f>
        <v/>
      </c>
      <c r="DE29" s="1">
        <v>2</v>
      </c>
      <c r="DF29" s="1" t="str">
        <f>IF(DF$25&lt;&gt;$G$25,"",IF(DF$25=$G$25,IFERROR(VLOOKUP($E27,$H$26:$I$34,2,0),"")))</f>
        <v/>
      </c>
      <c r="DG29" s="1">
        <v>4</v>
      </c>
      <c r="DH29" s="1" t="str">
        <f t="shared" si="32"/>
        <v/>
      </c>
      <c r="DI29" s="1">
        <v>4</v>
      </c>
      <c r="DJ29" s="1" t="str">
        <f>IF(DJ$25&lt;&gt;$G$25,"",IF(DJ$25=$G$25,IFERROR(VLOOKUP($E29,$H$26:$I$34,2,0),"")))</f>
        <v/>
      </c>
      <c r="DK29" s="1">
        <v>3</v>
      </c>
      <c r="DL29" s="1" t="str">
        <f t="shared" ref="DL29:DL34" si="38">IF(DL$25&lt;&gt;$G$25,"",IF(DL$25=$G$25,IFERROR(VLOOKUP($E28,$H$26:$I$34,2,0),"")))</f>
        <v/>
      </c>
      <c r="DM29" s="1">
        <v>4</v>
      </c>
      <c r="DN29" s="1" t="str">
        <f t="shared" si="33"/>
        <v/>
      </c>
    </row>
    <row r="30" spans="1:118" x14ac:dyDescent="0.25">
      <c r="A30" s="24">
        <f>D29-D30</f>
        <v>0</v>
      </c>
      <c r="B30" s="1" t="s">
        <v>67</v>
      </c>
      <c r="C30" s="39" t="str">
        <f>IF('INSCRIPTION DES JOUEURS'!I24="","",'INSCRIPTION DES JOUEURS'!I24)</f>
        <v/>
      </c>
      <c r="D30">
        <f>COUNTBLANK(C29:C31)</f>
        <v>3</v>
      </c>
      <c r="E30" s="1">
        <v>5</v>
      </c>
      <c r="F30" s="1" t="str">
        <f t="shared" si="9"/>
        <v/>
      </c>
      <c r="G30" s="1" t="str">
        <f t="shared" si="10"/>
        <v/>
      </c>
      <c r="H30" s="1" t="str">
        <f t="shared" si="4"/>
        <v/>
      </c>
      <c r="I30" s="1" t="str">
        <f t="shared" si="5"/>
        <v/>
      </c>
      <c r="J30" s="1" t="e">
        <f>'INSCRIPTION DES JOUEURS'!#REF!</f>
        <v>#REF!</v>
      </c>
      <c r="K30" s="1" t="str">
        <f t="shared" si="11"/>
        <v/>
      </c>
      <c r="L30" s="1" t="e">
        <f t="shared" si="12"/>
        <v>#REF!</v>
      </c>
      <c r="M30" s="1" t="str">
        <f t="shared" si="13"/>
        <v/>
      </c>
      <c r="N30" s="1" t="str">
        <f t="shared" si="14"/>
        <v/>
      </c>
      <c r="O30" s="1">
        <v>5</v>
      </c>
      <c r="P30" s="1" t="str">
        <f t="shared" si="15"/>
        <v/>
      </c>
      <c r="Q30" s="1" t="str">
        <f>IFERROR(VLOOKUP(P30,LISTE!$Z$3:$AB$146,3,0),"")</f>
        <v/>
      </c>
      <c r="R30" s="1" t="str">
        <f t="shared" si="16"/>
        <v/>
      </c>
      <c r="S30" s="1" t="str">
        <f>IF(AND($S$24=6,Q30=Q31),P29,IF(AND($S$24=6,Q30=Q29),P29,IF(AND(S27=6,Q31=Q29),P29,P30)))</f>
        <v/>
      </c>
      <c r="U30" s="1">
        <v>5</v>
      </c>
      <c r="W30" s="1">
        <v>5</v>
      </c>
      <c r="X30" s="1" t="str">
        <f t="shared" si="17"/>
        <v/>
      </c>
      <c r="Y30" s="1">
        <v>5</v>
      </c>
      <c r="Z30" s="1" t="str">
        <f t="shared" si="18"/>
        <v/>
      </c>
      <c r="AA30" s="1">
        <v>5</v>
      </c>
      <c r="AB30" s="1" t="str">
        <f t="shared" si="6"/>
        <v/>
      </c>
      <c r="AC30" s="1">
        <v>5</v>
      </c>
      <c r="AD30" s="1" t="str">
        <f t="shared" si="19"/>
        <v/>
      </c>
      <c r="AE30" s="25">
        <v>2</v>
      </c>
      <c r="AF30" s="1" t="str">
        <f>IF(AF$25&lt;&gt;$G$25,"",IF(AF$25=$G$25,IFERROR(VLOOKUP($E27,$H$26:$I$34,2,0),"")))</f>
        <v/>
      </c>
      <c r="AG30" s="1">
        <v>4</v>
      </c>
      <c r="AH30" s="1" t="str">
        <f>IF(AH$25&lt;&gt;$G$25,"",IF(AH$25=$G$25,IFERROR(VLOOKUP($E29,$H$26:$I$34,2,0),"")))</f>
        <v/>
      </c>
      <c r="AI30" s="1">
        <v>4</v>
      </c>
      <c r="AJ30" s="1" t="str">
        <f>IF(AJ$25&lt;&gt;$G$25,"",IF(AJ$25=$G$25,IFERROR(VLOOKUP($E29,$H$26:$I$34,2,0),"")))</f>
        <v/>
      </c>
      <c r="AK30" s="1">
        <v>4</v>
      </c>
      <c r="AL30" s="1" t="str">
        <f>IF(AL$25&lt;&gt;$G$25,"",IF(AL$25=$G$25,IFERROR(VLOOKUP($E29,$H$26:$I$34,2,0),"")))</f>
        <v/>
      </c>
      <c r="AM30" s="1">
        <v>4</v>
      </c>
      <c r="AN30" s="1" t="str">
        <f>IF(AN$25&lt;&gt;$G$25,"",IF(AN$25=$G$25,IFERROR(VLOOKUP($E29,$H$26:$I$34,2,0),"")))</f>
        <v/>
      </c>
      <c r="AO30" s="31">
        <v>4</v>
      </c>
      <c r="AP30" s="1" t="str">
        <f>IF(AP$25&lt;&gt;$G$25,"",IF(AP$25=$G$25,IFERROR(VLOOKUP($E29,$H$26:$I$34,2,0),"")))</f>
        <v/>
      </c>
      <c r="AQ30" s="1">
        <v>3</v>
      </c>
      <c r="AR30" s="1" t="str">
        <f>IF(AR$25&lt;&gt;$G$25,"",IF(AR$25=$G$25,IFERROR(VLOOKUP($E28,$H$26:$I$34,2,0),"")))</f>
        <v/>
      </c>
      <c r="AS30" s="1">
        <v>4</v>
      </c>
      <c r="AT30" s="1" t="str">
        <f>IF(AT$25&lt;&gt;$G$25,"",IF(AT$25=$G$25,IFERROR(VLOOKUP($E29,$H$26:$I$34,2,0),"")))</f>
        <v/>
      </c>
      <c r="AU30" s="1">
        <v>4</v>
      </c>
      <c r="AV30" s="1" t="str">
        <f>IF(AV$25&lt;&gt;$G$25,"",IF(AV$25=$G$25,IFERROR(VLOOKUP($E29,$H$26:$I$34,2,0),"")))</f>
        <v/>
      </c>
      <c r="AW30" s="1">
        <v>4</v>
      </c>
      <c r="AX30" s="1" t="str">
        <f>IF(AX$25&lt;&gt;$G$25,"",IF(AX$25=$G$25,IFERROR(VLOOKUP($E29,$H$26:$I$34,2,0),"")))</f>
        <v/>
      </c>
      <c r="AY30" s="1">
        <v>4</v>
      </c>
      <c r="AZ30" s="1" t="str">
        <f>IF(AZ$25&lt;&gt;$G$25,"",IF(AZ$25=$G$25,IFERROR(VLOOKUP($E29,$H$26:$I$34,2,0),"")))</f>
        <v/>
      </c>
      <c r="BA30" s="1">
        <v>4</v>
      </c>
      <c r="BB30" s="1" t="str">
        <f>IF(BB$25&lt;&gt;$G$25,"",IF(BB$25=$G$25,IFERROR(VLOOKUP($E29,$H$26:$I$34,2,0),"")))</f>
        <v/>
      </c>
      <c r="BC30" s="1">
        <v>5</v>
      </c>
      <c r="BD30" s="1" t="str">
        <f t="shared" si="21"/>
        <v/>
      </c>
      <c r="BE30" s="1">
        <v>5</v>
      </c>
      <c r="BF30" s="1" t="str">
        <f t="shared" si="22"/>
        <v/>
      </c>
      <c r="BG30" s="1">
        <v>5</v>
      </c>
      <c r="BH30" s="1" t="str">
        <f t="shared" si="23"/>
        <v/>
      </c>
      <c r="BI30" s="1">
        <v>4</v>
      </c>
      <c r="BJ30" s="1" t="str">
        <f>IF(BJ$25&lt;&gt;$G$25,"",IF(BJ$25=$G$25,IFERROR(VLOOKUP($E29,$H$26:$I$34,2,0),"")))</f>
        <v/>
      </c>
      <c r="BK30" s="1">
        <v>4</v>
      </c>
      <c r="BL30" s="1" t="str">
        <f>IF(BL$25&lt;&gt;$G$25,"",IF(BL$25=$G$25,IFERROR(VLOOKUP($E29,$H$26:$I$34,2,0),"")))</f>
        <v/>
      </c>
      <c r="BM30" s="1">
        <v>5</v>
      </c>
      <c r="BN30" s="1" t="str">
        <f t="shared" si="26"/>
        <v/>
      </c>
      <c r="BO30" s="1">
        <v>4</v>
      </c>
      <c r="BP30" s="1" t="str">
        <f>IF(BP$25&lt;&gt;$G$25,"",IF(BP$25=$G$25,IFERROR(VLOOKUP($E29,$H$26:$I$34,2,0),"")))</f>
        <v/>
      </c>
      <c r="BQ30" s="1">
        <v>5</v>
      </c>
      <c r="BR30" s="1" t="str">
        <f>IF(BR$25&lt;&gt;$G$25,"",IF(BR$25=$G$25,IFERROR(VLOOKUP($E30,$H$26:$I$34,2,0),"")))</f>
        <v/>
      </c>
      <c r="BS30" s="1">
        <v>5</v>
      </c>
      <c r="BT30" s="1" t="str">
        <f t="shared" si="37"/>
        <v/>
      </c>
      <c r="BU30" s="1">
        <v>4</v>
      </c>
      <c r="BV30" s="1" t="str">
        <f>IF(BV$25&lt;&gt;$G$25,"",IF(BV$25=$G$25,IFERROR(VLOOKUP($E29,$H$26:$I$34,2,0),"")))</f>
        <v/>
      </c>
      <c r="BW30" s="1">
        <v>5</v>
      </c>
      <c r="BX30" s="1" t="str">
        <f t="shared" si="7"/>
        <v/>
      </c>
      <c r="BY30" s="1">
        <v>4</v>
      </c>
      <c r="BZ30" s="1" t="str">
        <f>IF(BZ$25&lt;&gt;$G$25,"",IF(BZ$25=$G$25,IFERROR(VLOOKUP($E29,$H$26:$I$34,2,0),"")))</f>
        <v/>
      </c>
      <c r="CA30" s="1">
        <v>5</v>
      </c>
      <c r="CB30" s="1" t="str">
        <f t="shared" si="27"/>
        <v/>
      </c>
      <c r="CC30" s="1">
        <v>5</v>
      </c>
      <c r="CD30" s="1" t="str">
        <f t="shared" si="28"/>
        <v/>
      </c>
      <c r="CE30" s="1">
        <v>5</v>
      </c>
      <c r="CF30" s="1" t="str">
        <f t="shared" si="29"/>
        <v/>
      </c>
      <c r="CG30" s="1">
        <v>5</v>
      </c>
      <c r="CH30" s="1" t="str">
        <f t="shared" si="34"/>
        <v/>
      </c>
      <c r="CI30" s="1">
        <v>4</v>
      </c>
      <c r="CJ30" s="1" t="str">
        <f>IF(CJ$25&lt;&gt;$G$25,"",IF(CJ$25=$G$25,IFERROR(VLOOKUP($E29,$H$26:$I$34,2,0),"")))</f>
        <v/>
      </c>
      <c r="CK30" s="1">
        <v>4</v>
      </c>
      <c r="CL30" s="1" t="str">
        <f>IF(CL$25&lt;&gt;$G$25,"",IF(CL$25=$G$25,IFERROR(VLOOKUP($E29,$H$26:$I$34,2,0),"")))</f>
        <v/>
      </c>
      <c r="CM30" s="1">
        <v>5</v>
      </c>
      <c r="CN30" s="1" t="str">
        <f t="shared" si="35"/>
        <v/>
      </c>
      <c r="CO30" s="1">
        <v>5</v>
      </c>
      <c r="CP30" s="1" t="str">
        <f>IF(CP$25&lt;&gt;$G$25,"",IF(CP$25=$G$25,IFERROR(VLOOKUP($E30,$H$26:$I$34,2,0),"")))</f>
        <v/>
      </c>
      <c r="CQ30" s="1">
        <v>5</v>
      </c>
      <c r="CR30" s="1" t="str">
        <f t="shared" si="30"/>
        <v/>
      </c>
      <c r="CS30" s="1">
        <v>5</v>
      </c>
      <c r="CT30" s="1" t="str">
        <f t="shared" si="8"/>
        <v/>
      </c>
      <c r="CU30" s="1">
        <v>6</v>
      </c>
      <c r="CV30" s="1" t="str">
        <f>IF(CV$25&lt;&gt;$G$25,"",IF(CV$25=$G$25,IFERROR(VLOOKUP($E31,$H$26:$I$34,2,0),"")))</f>
        <v/>
      </c>
      <c r="CW30" s="1">
        <v>2</v>
      </c>
      <c r="CX30" s="1" t="str">
        <f>IF(CX$25&lt;&gt;$G$25,"",IF(CX$25=$G$25,IFERROR(VLOOKUP($E27,$H$26:$I$34,2,0),"")))</f>
        <v/>
      </c>
      <c r="CY30" s="1">
        <v>5</v>
      </c>
      <c r="CZ30" s="1" t="str">
        <f>IF(CZ$25&lt;&gt;$G$25,"",IF(CZ$25=$G$25,IFERROR(VLOOKUP($E30,$H$26:$I$34,2,0),"")))</f>
        <v/>
      </c>
      <c r="DA30" s="1">
        <v>4</v>
      </c>
      <c r="DB30" s="1" t="str">
        <f>IF(DB$25&lt;&gt;$G$25,"",IF(DB$25=$G$25,IFERROR(VLOOKUP($E29,$H$26:$I$34,2,0),"")))</f>
        <v/>
      </c>
      <c r="DC30" s="1">
        <v>4</v>
      </c>
      <c r="DD30" s="1" t="str">
        <f>IF(DD$25&lt;&gt;$G$25,"",IF(DD$25=$G$25,IFERROR(VLOOKUP($E29,$H$26:$I$34,2,0),"")))</f>
        <v/>
      </c>
      <c r="DE30" s="1">
        <v>3</v>
      </c>
      <c r="DF30" s="1" t="str">
        <f>IF(DF$25&lt;&gt;$G$25,"",IF(DF$25=$G$25,IFERROR(VLOOKUP($E28,$H$26:$I$34,2,0),"")))</f>
        <v/>
      </c>
      <c r="DG30" s="1">
        <v>5</v>
      </c>
      <c r="DH30" s="1" t="str">
        <f t="shared" si="32"/>
        <v/>
      </c>
      <c r="DI30" s="1">
        <v>5</v>
      </c>
      <c r="DJ30" s="1" t="str">
        <f>IF(DJ$25&lt;&gt;$G$25,"",IF(DJ$25=$G$25,IFERROR(VLOOKUP($E30,$H$26:$I$34,2,0),"")))</f>
        <v/>
      </c>
      <c r="DK30" s="1">
        <v>4</v>
      </c>
      <c r="DL30" s="1" t="str">
        <f t="shared" si="38"/>
        <v/>
      </c>
      <c r="DM30" s="1">
        <v>5</v>
      </c>
      <c r="DN30" s="1" t="str">
        <f t="shared" si="33"/>
        <v/>
      </c>
    </row>
    <row r="31" spans="1:118" ht="15.75" thickBot="1" x14ac:dyDescent="0.3">
      <c r="B31" s="1" t="s">
        <v>68</v>
      </c>
      <c r="C31" s="40" t="str">
        <f>IF('INSCRIPTION DES JOUEURS'!I25="","",'INSCRIPTION DES JOUEURS'!I25)</f>
        <v/>
      </c>
      <c r="E31" s="1">
        <v>6</v>
      </c>
      <c r="F31" s="1" t="str">
        <f t="shared" si="9"/>
        <v/>
      </c>
      <c r="G31" s="1" t="str">
        <f t="shared" si="10"/>
        <v/>
      </c>
      <c r="H31" s="1" t="str">
        <f t="shared" si="4"/>
        <v/>
      </c>
      <c r="I31" s="1" t="str">
        <f t="shared" si="5"/>
        <v/>
      </c>
      <c r="J31" s="1" t="e">
        <f>'INSCRIPTION DES JOUEURS'!#REF!</f>
        <v>#REF!</v>
      </c>
      <c r="K31" s="1" t="str">
        <f t="shared" si="11"/>
        <v/>
      </c>
      <c r="L31" s="1" t="e">
        <f t="shared" si="12"/>
        <v>#REF!</v>
      </c>
      <c r="M31" s="1" t="str">
        <f t="shared" si="13"/>
        <v/>
      </c>
      <c r="N31" s="1" t="str">
        <f t="shared" si="14"/>
        <v/>
      </c>
      <c r="O31" s="1">
        <v>6</v>
      </c>
      <c r="P31" s="1" t="str">
        <f t="shared" si="15"/>
        <v/>
      </c>
      <c r="Q31" s="1" t="str">
        <f>IFERROR(VLOOKUP(P31,LISTE!$Z$3:$AB$146,3,0),"")</f>
        <v/>
      </c>
      <c r="R31" s="1" t="str">
        <f t="shared" si="16"/>
        <v/>
      </c>
      <c r="S31" s="1" t="str">
        <f>IF(AND($S$24=6,Q31=Q29),P31,IF(AND($S$24=6,Q31=Q30),P31,IF(AND($S$24=6,Q30=Q29),P30,P31)))</f>
        <v/>
      </c>
      <c r="U31" s="1">
        <v>6</v>
      </c>
      <c r="W31" s="1">
        <v>6</v>
      </c>
      <c r="X31" s="1" t="str">
        <f>IF(X$25&lt;&gt;$G$25,"",IF(X$25=$G$25,IFERROR(VLOOKUP($E31,$R$26:$S$34,2,0),"")))</f>
        <v/>
      </c>
      <c r="Y31" s="1">
        <v>6</v>
      </c>
      <c r="Z31" s="1" t="str">
        <f t="shared" si="18"/>
        <v/>
      </c>
      <c r="AA31" s="1">
        <v>6</v>
      </c>
      <c r="AB31" s="1" t="str">
        <f t="shared" si="6"/>
        <v/>
      </c>
      <c r="AC31" s="1">
        <v>6</v>
      </c>
      <c r="AD31" s="1" t="str">
        <f t="shared" si="19"/>
        <v/>
      </c>
      <c r="AE31" s="1">
        <v>6</v>
      </c>
      <c r="AF31" s="1" t="str">
        <f t="shared" si="36"/>
        <v/>
      </c>
      <c r="AG31" s="1">
        <v>6</v>
      </c>
      <c r="AH31" s="1" t="str">
        <f>IF(AH$25&lt;&gt;$G$25,"",IF(AH$25=$G$25,IFERROR(VLOOKUP($E31,$H$26:$I$34,2,0),"")))</f>
        <v/>
      </c>
      <c r="AI31" s="1">
        <v>6</v>
      </c>
      <c r="AJ31" s="1" t="str">
        <f t="shared" si="20"/>
        <v/>
      </c>
      <c r="AK31" s="1">
        <v>6</v>
      </c>
      <c r="AL31" s="1" t="str">
        <f>IF(AL$25&lt;&gt;$G$25,"",IF(AL$25=$G$25,IFERROR(VLOOKUP($E31,$H$26:$I$34,2,0),"")))</f>
        <v/>
      </c>
      <c r="AM31" s="1">
        <v>6</v>
      </c>
      <c r="AN31" s="1" t="str">
        <f>IF(AN$25&lt;&gt;$G$25,"",IF(AN$25=$G$25,IFERROR(VLOOKUP($E31,$H$26:$I$34,2,0),"")))</f>
        <v/>
      </c>
      <c r="AO31" s="1">
        <v>6</v>
      </c>
      <c r="AP31" s="1" t="str">
        <f>IF(AP$25&lt;&gt;$G$25,"",IF(AP$25=$G$25,IFERROR(VLOOKUP($E31,$H$26:$I$34,2,0),"")))</f>
        <v/>
      </c>
      <c r="AQ31" s="1">
        <v>6</v>
      </c>
      <c r="AR31" s="1" t="str">
        <f>IF(AR$25&lt;&gt;$G$25,"",IF(AR$25=$G$25,IFERROR(VLOOKUP($E31,$H$26:$I$34,2,0),"")))</f>
        <v/>
      </c>
      <c r="AS31" s="1">
        <v>6</v>
      </c>
      <c r="AT31" s="1" t="str">
        <f>IF(AT$25&lt;&gt;$G$25,"",IF(AT$25=$G$25,IFERROR(VLOOKUP($E31,$H$26:$I$34,2,0),"")))</f>
        <v/>
      </c>
      <c r="AU31" s="1">
        <v>6</v>
      </c>
      <c r="AV31" s="1" t="str">
        <f>IF(AV$25&lt;&gt;$G$25,"",IF(AV$25=$G$25,IFERROR(VLOOKUP($E31,$H$26:$I$34,2,0),"")))</f>
        <v/>
      </c>
      <c r="AW31" s="1">
        <v>6</v>
      </c>
      <c r="AX31" s="1" t="str">
        <f>IF(AX$25&lt;&gt;$G$25,"",IF(AX$25=$G$25,IFERROR(VLOOKUP($E31,$H$26:$I$34,2,0),"")))</f>
        <v/>
      </c>
      <c r="AY31" s="1">
        <v>6</v>
      </c>
      <c r="AZ31" s="1" t="str">
        <f>IF(AZ$25&lt;&gt;$G$25,"",IF(AZ$25=$G$25,IFERROR(VLOOKUP($E31,$H$26:$I$34,2,0),"")))</f>
        <v/>
      </c>
      <c r="BA31" s="1">
        <v>6</v>
      </c>
      <c r="BB31" s="1" t="str">
        <f>IF(BB$25&lt;&gt;$G$25,"",IF(BB$25=$G$25,IFERROR(VLOOKUP($E31,$H$26:$I$34,2,0),"")))</f>
        <v/>
      </c>
      <c r="BC31" s="1">
        <v>6</v>
      </c>
      <c r="BD31" s="1" t="str">
        <f t="shared" si="21"/>
        <v/>
      </c>
      <c r="BE31" s="1">
        <v>6</v>
      </c>
      <c r="BF31" s="1" t="str">
        <f t="shared" si="22"/>
        <v/>
      </c>
      <c r="BG31" s="1">
        <v>6</v>
      </c>
      <c r="BH31" s="1" t="str">
        <f t="shared" si="23"/>
        <v/>
      </c>
      <c r="BI31" s="1">
        <v>5</v>
      </c>
      <c r="BJ31" s="1" t="str">
        <f>IF(BJ$25&lt;&gt;$G$25,"",IF(BJ$25=$G$25,IFERROR(VLOOKUP($E30,$H$26:$I$34,2,0),"")))</f>
        <v/>
      </c>
      <c r="BK31" s="25">
        <v>6</v>
      </c>
      <c r="BL31" s="1" t="str">
        <f>IF(BL$25&lt;&gt;$G$25,"",IF(BL$25=$G$25,IFERROR(VLOOKUP($E31,$H$26:$I$34,2,0),"")))</f>
        <v/>
      </c>
      <c r="BM31" s="1">
        <v>6</v>
      </c>
      <c r="BN31" s="1" t="str">
        <f t="shared" si="26"/>
        <v/>
      </c>
      <c r="BO31" s="1">
        <v>5</v>
      </c>
      <c r="BP31" s="1" t="str">
        <f>IF(BP$25&lt;&gt;$G$25,"",IF(BP$25=$G$25,IFERROR(VLOOKUP($E30,$H$26:$I$34,2,0),"")))</f>
        <v/>
      </c>
      <c r="BQ31" s="1">
        <v>6</v>
      </c>
      <c r="BR31" s="1" t="str">
        <f>IF(BR$25&lt;&gt;$G$25,"",IF(BR$25=$G$25,IFERROR(VLOOKUP($E31,$H$26:$I$34,2,0),"")))</f>
        <v/>
      </c>
      <c r="BS31" s="25">
        <v>1</v>
      </c>
      <c r="BT31" s="1" t="str">
        <f>IF(BT$25&lt;&gt;$G$25,"",IF(BT$25=$G$25,IFERROR(VLOOKUP($E26,$H$26:$I$34,2,0),"")))</f>
        <v/>
      </c>
      <c r="BU31" s="1">
        <v>5</v>
      </c>
      <c r="BV31" s="1" t="str">
        <f>IF(BV$25&lt;&gt;$G$25,"",IF(BV$25=$G$25,IFERROR(VLOOKUP($E30,$H$26:$I$34,2,0),"")))</f>
        <v/>
      </c>
      <c r="BW31" s="1">
        <v>6</v>
      </c>
      <c r="BX31" s="1" t="str">
        <f t="shared" si="7"/>
        <v/>
      </c>
      <c r="BY31" s="1">
        <v>5</v>
      </c>
      <c r="BZ31" s="1" t="str">
        <f>IF(BZ$25&lt;&gt;$G$25,"",IF(BZ$25=$G$25,IFERROR(VLOOKUP($E30,$H$26:$I$34,2,0),"")))</f>
        <v/>
      </c>
      <c r="CA31" s="1">
        <v>6</v>
      </c>
      <c r="CB31" s="1" t="str">
        <f t="shared" si="27"/>
        <v/>
      </c>
      <c r="CC31" s="1">
        <v>6</v>
      </c>
      <c r="CD31" s="1" t="str">
        <f t="shared" si="28"/>
        <v/>
      </c>
      <c r="CE31" s="1">
        <v>6</v>
      </c>
      <c r="CF31" s="1" t="str">
        <f t="shared" si="29"/>
        <v/>
      </c>
      <c r="CG31" s="1">
        <v>6</v>
      </c>
      <c r="CH31" s="1" t="str">
        <f t="shared" si="34"/>
        <v/>
      </c>
      <c r="CI31" s="1">
        <v>5</v>
      </c>
      <c r="CJ31" s="1" t="str">
        <f>IF(CJ$25&lt;&gt;$G$25,"",IF(CJ$25=$G$25,IFERROR(VLOOKUP($E30,$H$26:$I$34,2,0),"")))</f>
        <v/>
      </c>
      <c r="CK31" s="31">
        <v>6</v>
      </c>
      <c r="CL31" s="1" t="str">
        <f>IF(CL$25&lt;&gt;$G$25,"",IF(CL$25=$G$25,IFERROR(VLOOKUP($E31,$H$26:$I$34,2,0),"")))</f>
        <v/>
      </c>
      <c r="CM31" s="1">
        <v>6</v>
      </c>
      <c r="CN31" s="1" t="str">
        <f t="shared" si="35"/>
        <v/>
      </c>
      <c r="CO31" s="1">
        <v>6</v>
      </c>
      <c r="CP31" s="1" t="str">
        <f>IF(CP$25&lt;&gt;$G$25,"",IF(CP$25=$G$25,IFERROR(VLOOKUP($E31,$H$26:$I$34,2,0),"")))</f>
        <v/>
      </c>
      <c r="CQ31" s="1">
        <v>6</v>
      </c>
      <c r="CR31" s="1" t="str">
        <f t="shared" si="30"/>
        <v/>
      </c>
      <c r="CS31" s="1">
        <v>6</v>
      </c>
      <c r="CT31" s="1" t="str">
        <f t="shared" si="8"/>
        <v/>
      </c>
      <c r="CU31" s="1">
        <v>8</v>
      </c>
      <c r="CV31" s="1" t="str">
        <f>IF(CV$25&lt;&gt;$G$25,"",IF(CV$25=$G$25,IFERROR(VLOOKUP($E33,$H$26:$I$34,2,0),"")))</f>
        <v/>
      </c>
      <c r="CW31" s="1">
        <v>9</v>
      </c>
      <c r="CX31" s="1" t="str">
        <f>IF(CX$25&lt;&gt;$G$25,"",IF(CX$25=$G$25,IFERROR(VLOOKUP($E34,$H$26:$I$34,2,0),"")))</f>
        <v/>
      </c>
      <c r="CY31" s="1">
        <v>8</v>
      </c>
      <c r="CZ31" s="1" t="str">
        <f>IF(CZ$25&lt;&gt;$G$25,"",IF(CZ$25=$G$25,IFERROR(VLOOKUP($E33,$H$26:$I$34,2,0),"")))</f>
        <v/>
      </c>
      <c r="DA31" s="1">
        <v>5</v>
      </c>
      <c r="DB31" s="1" t="str">
        <f>IF(DB$25&lt;&gt;$G$25,"",IF(DB$25=$G$25,IFERROR(VLOOKUP($E30,$H$26:$I$34,2,0),"")))</f>
        <v/>
      </c>
      <c r="DC31" s="1">
        <v>9</v>
      </c>
      <c r="DD31" s="1" t="str">
        <f>IF(DD$25&lt;&gt;$G$25,"",IF(DD$25=$G$25,IFERROR(VLOOKUP($E34,$H$26:$I$34,2,0),"")))</f>
        <v/>
      </c>
      <c r="DE31" s="1">
        <v>4</v>
      </c>
      <c r="DF31" s="1" t="str">
        <f>IF(DF$25&lt;&gt;$G$25,"",IF(DF$25=$G$25,IFERROR(VLOOKUP($E29,$H$26:$I$34,2,0),"")))</f>
        <v/>
      </c>
      <c r="DG31" s="1">
        <v>6</v>
      </c>
      <c r="DH31" s="1" t="str">
        <f t="shared" si="32"/>
        <v/>
      </c>
      <c r="DI31" s="25">
        <v>9</v>
      </c>
      <c r="DJ31" s="1" t="str">
        <f>IF(DJ$25&lt;&gt;$G$25,"",IF(DJ$25=$G$25,IFERROR(VLOOKUP($E34,$H$26:$I$34,2,0),"")))</f>
        <v/>
      </c>
      <c r="DK31" s="1">
        <v>5</v>
      </c>
      <c r="DL31" s="1" t="str">
        <f t="shared" si="38"/>
        <v/>
      </c>
      <c r="DM31" s="1">
        <v>6</v>
      </c>
      <c r="DN31" s="1" t="str">
        <f t="shared" si="33"/>
        <v/>
      </c>
    </row>
    <row r="32" spans="1:118" x14ac:dyDescent="0.25">
      <c r="A32" s="1" t="str">
        <f>A12</f>
        <v>POULE 3</v>
      </c>
      <c r="B32" s="1" t="s">
        <v>66</v>
      </c>
      <c r="C32" s="41" t="str">
        <f>IF('INSCRIPTION DES JOUEURS'!I28="","",'INSCRIPTION DES JOUEURS'!I28)</f>
        <v/>
      </c>
      <c r="D32" s="24">
        <f>COUNTA(C32:C34)</f>
        <v>3</v>
      </c>
      <c r="E32" s="1">
        <v>7</v>
      </c>
      <c r="F32" s="1" t="str">
        <f t="shared" si="9"/>
        <v/>
      </c>
      <c r="G32" s="1" t="str">
        <f t="shared" si="10"/>
        <v/>
      </c>
      <c r="H32" s="1" t="str">
        <f t="shared" si="4"/>
        <v/>
      </c>
      <c r="I32" s="1" t="str">
        <f t="shared" si="5"/>
        <v/>
      </c>
      <c r="J32" s="1" t="e">
        <f>'INSCRIPTION DES JOUEURS'!#REF!</f>
        <v>#REF!</v>
      </c>
      <c r="K32" s="1" t="str">
        <f t="shared" si="11"/>
        <v/>
      </c>
      <c r="L32" s="1" t="e">
        <f t="shared" si="12"/>
        <v>#REF!</v>
      </c>
      <c r="M32" s="1" t="str">
        <f t="shared" si="13"/>
        <v/>
      </c>
      <c r="N32" s="1" t="str">
        <f t="shared" si="14"/>
        <v/>
      </c>
      <c r="O32" s="1">
        <v>7</v>
      </c>
      <c r="P32" s="1" t="str">
        <f t="shared" si="15"/>
        <v/>
      </c>
      <c r="Q32" s="1" t="str">
        <f>IFERROR(VLOOKUP(P32,LISTE!$Z$3:$AB$146,3,0),"")</f>
        <v/>
      </c>
      <c r="R32" s="1" t="str">
        <f t="shared" si="16"/>
        <v/>
      </c>
      <c r="U32" s="1">
        <v>7</v>
      </c>
      <c r="W32" s="1">
        <v>7</v>
      </c>
      <c r="X32" s="1" t="str">
        <f t="shared" si="17"/>
        <v/>
      </c>
      <c r="Y32" s="1">
        <v>7</v>
      </c>
      <c r="Z32" s="1" t="str">
        <f t="shared" si="18"/>
        <v/>
      </c>
      <c r="AA32" s="1">
        <v>7</v>
      </c>
      <c r="AB32" s="1" t="str">
        <f t="shared" si="6"/>
        <v/>
      </c>
      <c r="AC32" s="1">
        <v>7</v>
      </c>
      <c r="AD32" s="1" t="str">
        <f t="shared" si="19"/>
        <v/>
      </c>
      <c r="AE32" s="1">
        <v>7</v>
      </c>
      <c r="AF32" s="1" t="str">
        <f t="shared" si="36"/>
        <v/>
      </c>
      <c r="AG32" s="1">
        <v>7</v>
      </c>
      <c r="AH32" s="1" t="str">
        <f>IF(AH$25&lt;&gt;$G$25,"",IF(AH$25=$G$25,IFERROR(VLOOKUP($E32,$H$26:$I$34,2,0),"")))</f>
        <v/>
      </c>
      <c r="AI32" s="1">
        <v>7</v>
      </c>
      <c r="AJ32" s="1" t="str">
        <f t="shared" si="20"/>
        <v/>
      </c>
      <c r="AK32" s="1">
        <v>7</v>
      </c>
      <c r="AL32" s="1" t="str">
        <f>IF(AL$25&lt;&gt;$G$25,"",IF(AL$25=$G$25,IFERROR(VLOOKUP($E32,$H$26:$I$34,2,0),"")))</f>
        <v/>
      </c>
      <c r="AM32" s="1">
        <v>7</v>
      </c>
      <c r="AN32" s="1" t="str">
        <f>IF(AN$25&lt;&gt;$G$25,"",IF(AN$25=$G$25,IFERROR(VLOOKUP($E32,$H$26:$I$34,2,0),"")))</f>
        <v/>
      </c>
      <c r="AO32" s="1">
        <v>7</v>
      </c>
      <c r="AP32" s="1" t="str">
        <f>IF(AP$25&lt;&gt;$G$25,"",IF(AP$25=$G$25,IFERROR(VLOOKUP($E32,$H$26:$I$34,2,0),"")))</f>
        <v/>
      </c>
      <c r="AQ32" s="1">
        <v>7</v>
      </c>
      <c r="AR32" s="1" t="str">
        <f>IF(AR$25&lt;&gt;$G$25,"",IF(AR$25=$G$25,IFERROR(VLOOKUP($E32,$H$26:$I$34,2,0),"")))</f>
        <v/>
      </c>
      <c r="AS32" s="1">
        <v>7</v>
      </c>
      <c r="AT32" s="1" t="str">
        <f>IF(AT$25&lt;&gt;$G$25,"",IF(AT$25=$G$25,IFERROR(VLOOKUP($E32,$H$26:$I$34,2,0),"")))</f>
        <v/>
      </c>
      <c r="AU32" s="1">
        <v>7</v>
      </c>
      <c r="AV32" s="1" t="str">
        <f>IF(AV$25&lt;&gt;$G$25,"",IF(AV$25=$G$25,IFERROR(VLOOKUP($E32,$H$26:$I$34,2,0),"")))</f>
        <v/>
      </c>
      <c r="AW32" s="1">
        <v>7</v>
      </c>
      <c r="AX32" s="1" t="str">
        <f>IF(AX$25&lt;&gt;$G$25,"",IF(AX$25=$G$25,IFERROR(VLOOKUP($E32,$H$26:$I$34,2,0),"")))</f>
        <v/>
      </c>
      <c r="AY32" s="1">
        <v>7</v>
      </c>
      <c r="AZ32" s="1" t="str">
        <f>IF(AZ$25&lt;&gt;$G$25,"",IF(AZ$25=$G$25,IFERROR(VLOOKUP($E32,$H$26:$I$34,2,0),"")))</f>
        <v/>
      </c>
      <c r="BA32" s="1">
        <v>7</v>
      </c>
      <c r="BB32" s="1" t="str">
        <f>IF(BB$25&lt;&gt;$G$25,"",IF(BB$25=$G$25,IFERROR(VLOOKUP($E32,$H$26:$I$34,2,0),"")))</f>
        <v/>
      </c>
      <c r="BC32" s="1">
        <v>7</v>
      </c>
      <c r="BD32" s="1" t="str">
        <f t="shared" si="21"/>
        <v/>
      </c>
      <c r="BE32" s="1">
        <v>7</v>
      </c>
      <c r="BF32" s="1" t="str">
        <f t="shared" si="22"/>
        <v/>
      </c>
      <c r="BG32" s="1">
        <v>7</v>
      </c>
      <c r="BH32" s="1" t="str">
        <f t="shared" si="23"/>
        <v/>
      </c>
      <c r="BI32" s="1">
        <v>7</v>
      </c>
      <c r="BJ32" s="1" t="str">
        <f t="shared" si="24"/>
        <v/>
      </c>
      <c r="BK32" s="1">
        <v>7</v>
      </c>
      <c r="BL32" s="1" t="str">
        <f t="shared" si="25"/>
        <v/>
      </c>
      <c r="BM32" s="1">
        <v>7</v>
      </c>
      <c r="BN32" s="1" t="str">
        <f t="shared" si="26"/>
        <v/>
      </c>
      <c r="BO32" s="1">
        <v>7</v>
      </c>
      <c r="BP32" s="1" t="str">
        <f>IF(BP$25&lt;&gt;$G$25,"",IF(BP$25=$G$25,IFERROR(VLOOKUP($E32,$H$26:$I$34,2,0),"")))</f>
        <v/>
      </c>
      <c r="BQ32" s="1">
        <v>7</v>
      </c>
      <c r="BR32" s="1" t="str">
        <f>IF(BR$25&lt;&gt;$G$25,"",IF(BR$25=$G$25,IFERROR(VLOOKUP($E32,$H$26:$I$34,2,0),"")))</f>
        <v/>
      </c>
      <c r="BS32" s="1">
        <v>7</v>
      </c>
      <c r="BT32" s="1" t="str">
        <f t="shared" si="37"/>
        <v/>
      </c>
      <c r="BU32" s="1">
        <v>7</v>
      </c>
      <c r="BV32" s="1" t="str">
        <f>IF(BV$25&lt;&gt;$G$25,"",IF(BV$25=$G$25,IFERROR(VLOOKUP($E32,$H$26:$I$34,2,0),"")))</f>
        <v/>
      </c>
      <c r="BW32" s="1">
        <v>7</v>
      </c>
      <c r="BX32" s="1" t="str">
        <f t="shared" si="7"/>
        <v/>
      </c>
      <c r="BY32" s="1">
        <v>7</v>
      </c>
      <c r="BZ32" s="1" t="str">
        <f>IF(BZ$25&lt;&gt;$G$25,"",IF(BZ$25=$G$25,IFERROR(VLOOKUP($E32,$H$26:$I$34,2,0),"")))</f>
        <v/>
      </c>
      <c r="CA32" s="1">
        <v>7</v>
      </c>
      <c r="CB32" s="1" t="str">
        <f t="shared" si="27"/>
        <v/>
      </c>
      <c r="CC32" s="1">
        <v>7</v>
      </c>
      <c r="CD32" s="1" t="str">
        <f t="shared" si="28"/>
        <v/>
      </c>
      <c r="CE32" s="1">
        <v>7</v>
      </c>
      <c r="CF32" s="1" t="str">
        <f t="shared" si="29"/>
        <v/>
      </c>
      <c r="CG32" s="1">
        <v>7</v>
      </c>
      <c r="CH32" s="1" t="str">
        <f t="shared" si="34"/>
        <v/>
      </c>
      <c r="CI32" s="1">
        <v>7</v>
      </c>
      <c r="CJ32" s="1" t="str">
        <f>IF(CJ$25&lt;&gt;$G$25,"",IF(CJ$25=$G$25,IFERROR(VLOOKUP($E32,$H$26:$I$34,2,0),"")))</f>
        <v/>
      </c>
      <c r="CK32" s="1">
        <v>7</v>
      </c>
      <c r="CL32" s="1" t="str">
        <f>IF(CL$25&lt;&gt;$G$25,"",IF(CL$25=$G$25,IFERROR(VLOOKUP($E32,$H$26:$I$34,2,0),"")))</f>
        <v/>
      </c>
      <c r="CM32" s="1">
        <v>7</v>
      </c>
      <c r="CN32" s="1" t="str">
        <f t="shared" si="35"/>
        <v/>
      </c>
      <c r="CO32" s="1">
        <v>7</v>
      </c>
      <c r="CP32" s="1" t="str">
        <f>IF(CP$25&lt;&gt;$G$25,"",IF(CP$25=$G$25,IFERROR(VLOOKUP($E32,$H$26:$I$34,2,0),"")))</f>
        <v/>
      </c>
      <c r="CQ32" s="1">
        <v>7</v>
      </c>
      <c r="CR32" s="1" t="str">
        <f t="shared" si="30"/>
        <v/>
      </c>
      <c r="CS32" s="1">
        <v>7</v>
      </c>
      <c r="CT32" s="1" t="str">
        <f t="shared" si="8"/>
        <v/>
      </c>
      <c r="CU32" s="1">
        <v>7</v>
      </c>
      <c r="CV32" s="1" t="str">
        <f t="shared" si="31"/>
        <v/>
      </c>
      <c r="CW32" s="1">
        <v>5</v>
      </c>
      <c r="CX32" s="1" t="str">
        <f>IF(CX$25&lt;&gt;$G$25,"",IF(CX$25=$G$25,IFERROR(VLOOKUP($E30,$H$26:$I$34,2,0),"")))</f>
        <v/>
      </c>
      <c r="CY32" s="1">
        <v>6</v>
      </c>
      <c r="CZ32" s="1" t="str">
        <f>IF(CZ$25&lt;&gt;$G$25,"",IF(CZ$25=$G$25,IFERROR(VLOOKUP($E31,$H$26:$I$34,2,0),"")))</f>
        <v/>
      </c>
      <c r="DA32" s="1">
        <v>6</v>
      </c>
      <c r="DB32" s="1" t="str">
        <f>IF(DB$25&lt;&gt;$G$25,"",IF(DB$25=$G$25,IFERROR(VLOOKUP($E31,$H$26:$I$34,2,0),"")))</f>
        <v/>
      </c>
      <c r="DC32" s="1">
        <v>5</v>
      </c>
      <c r="DD32" s="1" t="str">
        <f>IF(DD$25&lt;&gt;$G$25,"",IF(DD$25=$G$25,IFERROR(VLOOKUP($E30,$H$26:$I$34,2,0),"")))</f>
        <v/>
      </c>
      <c r="DE32" s="1">
        <v>5</v>
      </c>
      <c r="DF32" s="1" t="str">
        <f>IF(DF$25&lt;&gt;$G$25,"",IF(DF$25=$G$25,IFERROR(VLOOKUP($E30,$H$26:$I$34,2,0),"")))</f>
        <v/>
      </c>
      <c r="DG32" s="1">
        <v>7</v>
      </c>
      <c r="DH32" s="1" t="str">
        <f t="shared" si="32"/>
        <v/>
      </c>
      <c r="DI32" s="1">
        <v>6</v>
      </c>
      <c r="DJ32" s="1" t="str">
        <f>IF(DJ$25&lt;&gt;$G$25,"",IF(DJ$25=$G$25,IFERROR(VLOOKUP($E31,$H$26:$I$34,2,0),"")))</f>
        <v/>
      </c>
      <c r="DK32" s="1">
        <v>6</v>
      </c>
      <c r="DL32" s="1" t="str">
        <f t="shared" si="38"/>
        <v/>
      </c>
      <c r="DM32" s="1">
        <v>7</v>
      </c>
      <c r="DN32" s="1" t="str">
        <f t="shared" si="33"/>
        <v/>
      </c>
    </row>
    <row r="33" spans="1:118" x14ac:dyDescent="0.25">
      <c r="A33" s="24">
        <f>D32-D33</f>
        <v>0</v>
      </c>
      <c r="B33" s="1" t="s">
        <v>67</v>
      </c>
      <c r="C33" s="39" t="str">
        <f>IF('INSCRIPTION DES JOUEURS'!I29="","",'INSCRIPTION DES JOUEURS'!I29)</f>
        <v/>
      </c>
      <c r="D33">
        <f>COUNTBLANK(C32:C34)</f>
        <v>3</v>
      </c>
      <c r="E33" s="1">
        <v>8</v>
      </c>
      <c r="F33" s="1" t="str">
        <f t="shared" si="9"/>
        <v/>
      </c>
      <c r="G33" s="1" t="str">
        <f t="shared" si="10"/>
        <v/>
      </c>
      <c r="H33" s="1" t="str">
        <f t="shared" si="4"/>
        <v/>
      </c>
      <c r="I33" s="1" t="str">
        <f t="shared" si="5"/>
        <v/>
      </c>
      <c r="J33" s="1" t="e">
        <f>'INSCRIPTION DES JOUEURS'!#REF!</f>
        <v>#REF!</v>
      </c>
      <c r="K33" s="1" t="str">
        <f t="shared" si="11"/>
        <v/>
      </c>
      <c r="L33" s="1" t="e">
        <f t="shared" si="12"/>
        <v>#REF!</v>
      </c>
      <c r="M33" s="1" t="str">
        <f t="shared" si="13"/>
        <v/>
      </c>
      <c r="N33" s="1" t="str">
        <f t="shared" si="14"/>
        <v/>
      </c>
      <c r="O33" s="1">
        <v>8</v>
      </c>
      <c r="P33" s="1" t="str">
        <f t="shared" si="15"/>
        <v/>
      </c>
      <c r="Q33" s="1" t="str">
        <f>IFERROR(VLOOKUP(P33,LISTE!$Z$3:$AB$146,3,0),"")</f>
        <v/>
      </c>
      <c r="R33" s="1" t="str">
        <f t="shared" si="16"/>
        <v/>
      </c>
      <c r="U33" s="1">
        <v>8</v>
      </c>
      <c r="W33" s="1">
        <v>8</v>
      </c>
      <c r="X33" s="1" t="str">
        <f t="shared" si="17"/>
        <v/>
      </c>
      <c r="Y33" s="1">
        <v>8</v>
      </c>
      <c r="Z33" s="1" t="str">
        <f t="shared" si="18"/>
        <v/>
      </c>
      <c r="AA33" s="1">
        <v>8</v>
      </c>
      <c r="AB33" s="1" t="str">
        <f t="shared" si="6"/>
        <v/>
      </c>
      <c r="AC33" s="1">
        <v>8</v>
      </c>
      <c r="AD33" s="1" t="str">
        <f t="shared" si="19"/>
        <v/>
      </c>
      <c r="AE33" s="1">
        <v>8</v>
      </c>
      <c r="AF33" s="1" t="str">
        <f t="shared" si="36"/>
        <v/>
      </c>
      <c r="AG33" s="1">
        <v>8</v>
      </c>
      <c r="AH33" s="1" t="str">
        <f>IF(AH$25&lt;&gt;$G$25,"",IF(AH$25=$G$25,IFERROR(VLOOKUP($E33,$H$26:$I$34,2,0),"")))</f>
        <v/>
      </c>
      <c r="AI33" s="1">
        <v>8</v>
      </c>
      <c r="AJ33" s="1" t="str">
        <f t="shared" si="20"/>
        <v/>
      </c>
      <c r="AK33" s="1">
        <v>8</v>
      </c>
      <c r="AL33" s="1" t="str">
        <f>IF(AL$25&lt;&gt;$G$25,"",IF(AL$25=$G$25,IFERROR(VLOOKUP($E33,$H$26:$I$34,2,0),"")))</f>
        <v/>
      </c>
      <c r="AM33" s="1">
        <v>8</v>
      </c>
      <c r="AN33" s="1" t="str">
        <f>IF(AN$25&lt;&gt;$G$25,"",IF(AN$25=$G$25,IFERROR(VLOOKUP($E33,$H$26:$I$34,2,0),"")))</f>
        <v/>
      </c>
      <c r="AO33" s="1">
        <v>8</v>
      </c>
      <c r="AP33" s="1" t="str">
        <f>IF(AP$25&lt;&gt;$G$25,"",IF(AP$25=$G$25,IFERROR(VLOOKUP($E33,$H$26:$I$34,2,0),"")))</f>
        <v/>
      </c>
      <c r="AQ33" s="1">
        <v>8</v>
      </c>
      <c r="AR33" s="1" t="str">
        <f>IF(AR$25&lt;&gt;$G$25,"",IF(AR$25=$G$25,IFERROR(VLOOKUP($E33,$H$26:$I$34,2,0),"")))</f>
        <v/>
      </c>
      <c r="AS33" s="1">
        <v>8</v>
      </c>
      <c r="AT33" s="1" t="str">
        <f>IF(AT$25&lt;&gt;$G$25,"",IF(AT$25=$G$25,IFERROR(VLOOKUP($E33,$H$26:$I$34,2,0),"")))</f>
        <v/>
      </c>
      <c r="AU33" s="1">
        <v>8</v>
      </c>
      <c r="AV33" s="1" t="str">
        <f>IF(AV$25&lt;&gt;$G$25,"",IF(AV$25=$G$25,IFERROR(VLOOKUP($E33,$H$26:$I$34,2,0),"")))</f>
        <v/>
      </c>
      <c r="AW33" s="1">
        <v>8</v>
      </c>
      <c r="AX33" s="1" t="str">
        <f>IF(AX$25&lt;&gt;$G$25,"",IF(AX$25=$G$25,IFERROR(VLOOKUP($E33,$H$26:$I$34,2,0),"")))</f>
        <v/>
      </c>
      <c r="AY33" s="1">
        <v>8</v>
      </c>
      <c r="AZ33" s="1" t="str">
        <f>IF(AZ$25&lt;&gt;$G$25,"",IF(AZ$25=$G$25,IFERROR(VLOOKUP($E33,$H$26:$I$34,2,0),"")))</f>
        <v/>
      </c>
      <c r="BA33" s="1">
        <v>8</v>
      </c>
      <c r="BB33" s="1" t="str">
        <f>IF(BB$25&lt;&gt;$G$25,"",IF(BB$25=$G$25,IFERROR(VLOOKUP($E33,$H$26:$I$34,2,0),"")))</f>
        <v/>
      </c>
      <c r="BC33" s="1">
        <v>8</v>
      </c>
      <c r="BD33" s="1" t="str">
        <f t="shared" si="21"/>
        <v/>
      </c>
      <c r="BE33" s="1">
        <v>8</v>
      </c>
      <c r="BF33" s="1" t="str">
        <f t="shared" si="22"/>
        <v/>
      </c>
      <c r="BG33" s="1">
        <v>8</v>
      </c>
      <c r="BH33" s="1" t="str">
        <f t="shared" si="23"/>
        <v/>
      </c>
      <c r="BI33" s="1">
        <v>8</v>
      </c>
      <c r="BJ33" s="1" t="str">
        <f t="shared" si="24"/>
        <v/>
      </c>
      <c r="BK33" s="1">
        <v>8</v>
      </c>
      <c r="BL33" s="1" t="str">
        <f t="shared" si="25"/>
        <v/>
      </c>
      <c r="BM33" s="1">
        <v>8</v>
      </c>
      <c r="BN33" s="1" t="str">
        <f t="shared" si="26"/>
        <v/>
      </c>
      <c r="BO33" s="1">
        <v>8</v>
      </c>
      <c r="BP33" s="1" t="str">
        <f>IF(BP$25&lt;&gt;$G$25,"",IF(BP$25=$G$25,IFERROR(VLOOKUP($E33,$H$26:$I$34,2,0),"")))</f>
        <v/>
      </c>
      <c r="BQ33" s="1">
        <v>8</v>
      </c>
      <c r="BR33" s="1" t="str">
        <f>IF(BR$25&lt;&gt;$G$25,"",IF(BR$25=$G$25,IFERROR(VLOOKUP($E33,$H$26:$I$34,2,0),"")))</f>
        <v/>
      </c>
      <c r="BS33" s="1">
        <v>8</v>
      </c>
      <c r="BT33" s="1" t="str">
        <f t="shared" si="37"/>
        <v/>
      </c>
      <c r="BU33" s="1">
        <v>8</v>
      </c>
      <c r="BV33" s="1" t="str">
        <f>IF(BV$25&lt;&gt;$G$25,"",IF(BV$25=$G$25,IFERROR(VLOOKUP($E33,$H$26:$I$34,2,0),"")))</f>
        <v/>
      </c>
      <c r="BW33" s="1">
        <v>8</v>
      </c>
      <c r="BX33" s="1" t="str">
        <f t="shared" si="7"/>
        <v/>
      </c>
      <c r="BY33" s="1">
        <v>8</v>
      </c>
      <c r="BZ33" s="1" t="str">
        <f>IF(BZ$25&lt;&gt;$G$25,"",IF(BZ$25=$G$25,IFERROR(VLOOKUP($E33,$H$26:$I$34,2,0),"")))</f>
        <v/>
      </c>
      <c r="CA33" s="1">
        <v>8</v>
      </c>
      <c r="CB33" s="1" t="str">
        <f t="shared" si="27"/>
        <v/>
      </c>
      <c r="CC33" s="1">
        <v>8</v>
      </c>
      <c r="CD33" s="1" t="str">
        <f t="shared" si="28"/>
        <v/>
      </c>
      <c r="CE33" s="1">
        <v>8</v>
      </c>
      <c r="CF33" s="1" t="str">
        <f t="shared" si="29"/>
        <v/>
      </c>
      <c r="CG33" s="1">
        <v>8</v>
      </c>
      <c r="CH33" s="1" t="str">
        <f t="shared" si="34"/>
        <v/>
      </c>
      <c r="CI33" s="1">
        <v>8</v>
      </c>
      <c r="CJ33" s="1" t="str">
        <f>IF(CJ$25&lt;&gt;$G$25,"",IF(CJ$25=$G$25,IFERROR(VLOOKUP($E33,$H$26:$I$34,2,0),"")))</f>
        <v/>
      </c>
      <c r="CK33" s="1">
        <v>8</v>
      </c>
      <c r="CL33" s="1" t="str">
        <f>IF(CL$25&lt;&gt;$G$25,"",IF(CL$25=$G$25,IFERROR(VLOOKUP($E33,$H$26:$I$34,2,0),"")))</f>
        <v/>
      </c>
      <c r="CM33" s="1">
        <v>8</v>
      </c>
      <c r="CN33" s="1" t="str">
        <f t="shared" si="35"/>
        <v/>
      </c>
      <c r="CO33" s="1">
        <v>8</v>
      </c>
      <c r="CP33" s="1" t="str">
        <f>IF(CP$25&lt;&gt;$G$25,"",IF(CP$25=$G$25,IFERROR(VLOOKUP($E33,$H$26:$I$34,2,0),"")))</f>
        <v/>
      </c>
      <c r="CQ33" s="1">
        <v>8</v>
      </c>
      <c r="CR33" s="1" t="str">
        <f t="shared" si="30"/>
        <v/>
      </c>
      <c r="CS33" s="1">
        <v>8</v>
      </c>
      <c r="CT33" s="1" t="str">
        <f t="shared" si="8"/>
        <v/>
      </c>
      <c r="CU33" s="25">
        <v>5</v>
      </c>
      <c r="CV33" s="1" t="str">
        <f>IF(CV$25&lt;&gt;$G$25,"",IF(CV$25=$G$25,IFERROR(VLOOKUP($E30,$H$26:$I$34,2,0),"")))</f>
        <v/>
      </c>
      <c r="CW33" s="1">
        <v>6</v>
      </c>
      <c r="CX33" s="1" t="str">
        <f>IF(CX$25&lt;&gt;$G$25,"",IF(CX$25=$G$25,IFERROR(VLOOKUP($E31,$H$26:$I$34,2,0),"")))</f>
        <v/>
      </c>
      <c r="CY33" s="1">
        <v>7</v>
      </c>
      <c r="CZ33" s="1" t="str">
        <f>IF(CZ$25&lt;&gt;$G$25,"",IF(CZ$25=$G$25,IFERROR(VLOOKUP($E32,$H$26:$I$34,2,0),"")))</f>
        <v/>
      </c>
      <c r="DA33" s="1">
        <v>7</v>
      </c>
      <c r="DB33" s="1" t="str">
        <f>IF(DB$25&lt;&gt;$G$25,"",IF(DB$25=$G$25,IFERROR(VLOOKUP($E32,$H$26:$I$34,2,0),"")))</f>
        <v/>
      </c>
      <c r="DC33" s="1">
        <v>6</v>
      </c>
      <c r="DD33" s="1" t="str">
        <f>IF(DD$25&lt;&gt;$G$25,"",IF(DD$25=$G$25,IFERROR(VLOOKUP($E31,$H$26:$I$34,2,0),"")))</f>
        <v/>
      </c>
      <c r="DE33" s="1">
        <v>7</v>
      </c>
      <c r="DF33" s="1" t="str">
        <f>IF(DF$25&lt;&gt;$G$25,"",IF(DF$25=$G$25,IFERROR(VLOOKUP($E32,$H$26:$I$34,2,0),"")))</f>
        <v/>
      </c>
      <c r="DG33" s="1">
        <v>8</v>
      </c>
      <c r="DH33" s="1" t="str">
        <f t="shared" si="32"/>
        <v/>
      </c>
      <c r="DI33" s="1">
        <v>7</v>
      </c>
      <c r="DJ33" s="1" t="str">
        <f>IF(DJ$25&lt;&gt;$G$25,"",IF(DJ$25=$G$25,IFERROR(VLOOKUP($E32,$H$26:$I$34,2,0),"")))</f>
        <v/>
      </c>
      <c r="DK33" s="1">
        <v>7</v>
      </c>
      <c r="DL33" s="1" t="str">
        <f t="shared" si="38"/>
        <v/>
      </c>
      <c r="DM33" s="1">
        <v>8</v>
      </c>
      <c r="DN33" s="1" t="str">
        <f t="shared" si="33"/>
        <v/>
      </c>
    </row>
    <row r="34" spans="1:118" ht="15.75" thickBot="1" x14ac:dyDescent="0.3">
      <c r="B34" s="1" t="s">
        <v>68</v>
      </c>
      <c r="C34" s="40" t="str">
        <f>IF('INSCRIPTION DES JOUEURS'!I30="","",'INSCRIPTION DES JOUEURS'!I30)</f>
        <v/>
      </c>
      <c r="E34" s="1">
        <v>9</v>
      </c>
      <c r="F34" s="1" t="str">
        <f t="shared" si="9"/>
        <v/>
      </c>
      <c r="G34" s="1" t="str">
        <f t="shared" si="10"/>
        <v/>
      </c>
      <c r="H34" s="1" t="str">
        <f t="shared" si="4"/>
        <v/>
      </c>
      <c r="I34" s="1" t="str">
        <f t="shared" si="5"/>
        <v/>
      </c>
      <c r="J34" s="1" t="e">
        <f>'INSCRIPTION DES JOUEURS'!#REF!</f>
        <v>#REF!</v>
      </c>
      <c r="K34" s="1" t="str">
        <f t="shared" si="11"/>
        <v/>
      </c>
      <c r="L34" s="1" t="e">
        <f t="shared" si="12"/>
        <v>#REF!</v>
      </c>
      <c r="M34" s="1" t="str">
        <f t="shared" si="13"/>
        <v/>
      </c>
      <c r="N34" s="1" t="str">
        <f t="shared" si="14"/>
        <v/>
      </c>
      <c r="O34" s="1">
        <v>9</v>
      </c>
      <c r="P34" s="1" t="str">
        <f t="shared" si="15"/>
        <v/>
      </c>
      <c r="Q34" s="1" t="str">
        <f>IFERROR(VLOOKUP(P34,LISTE!$Z$3:$AB$146,3,0),"")</f>
        <v/>
      </c>
      <c r="R34" s="1" t="str">
        <f t="shared" si="16"/>
        <v/>
      </c>
      <c r="U34" s="1">
        <v>9</v>
      </c>
      <c r="W34" s="1">
        <v>9</v>
      </c>
      <c r="X34" s="1" t="str">
        <f t="shared" si="17"/>
        <v/>
      </c>
      <c r="Y34" s="1">
        <v>9</v>
      </c>
      <c r="Z34" s="1" t="str">
        <f t="shared" si="18"/>
        <v/>
      </c>
      <c r="AA34" s="1">
        <v>9</v>
      </c>
      <c r="AB34" s="1" t="str">
        <f t="shared" si="6"/>
        <v/>
      </c>
      <c r="AC34" s="1">
        <v>9</v>
      </c>
      <c r="AD34" s="1" t="str">
        <f t="shared" si="19"/>
        <v/>
      </c>
      <c r="AE34" s="1">
        <v>9</v>
      </c>
      <c r="AF34" s="1" t="str">
        <f t="shared" si="36"/>
        <v/>
      </c>
      <c r="AG34" s="1">
        <v>9</v>
      </c>
      <c r="AH34" s="1" t="str">
        <f>IF(AH$25&lt;&gt;$G$25,"",IF(AH$25=$G$25,IFERROR(VLOOKUP($E34,$H$26:$I$34,2,0),"")))</f>
        <v/>
      </c>
      <c r="AI34" s="1">
        <v>9</v>
      </c>
      <c r="AJ34" s="1" t="str">
        <f t="shared" si="20"/>
        <v/>
      </c>
      <c r="AK34" s="1">
        <v>9</v>
      </c>
      <c r="AL34" s="1" t="str">
        <f>IF(AL$25&lt;&gt;$G$25,"",IF(AL$25=$G$25,IFERROR(VLOOKUP($E34,$H$26:$I$34,2,0),"")))</f>
        <v/>
      </c>
      <c r="AM34" s="1">
        <v>9</v>
      </c>
      <c r="AN34" s="1" t="str">
        <f>IF(AN$25&lt;&gt;$G$25,"",IF(AN$25=$G$25,IFERROR(VLOOKUP($E34,$H$26:$I$34,2,0),"")))</f>
        <v/>
      </c>
      <c r="AO34" s="1">
        <v>9</v>
      </c>
      <c r="AP34" s="1" t="str">
        <f>IF(AP$25&lt;&gt;$G$25,"",IF(AP$25=$G$25,IFERROR(VLOOKUP($E34,$H$26:$I$34,2,0),"")))</f>
        <v/>
      </c>
      <c r="AQ34" s="1">
        <v>9</v>
      </c>
      <c r="AR34" s="1" t="str">
        <f>IF(AR$25&lt;&gt;$G$25,"",IF(AR$25=$G$25,IFERROR(VLOOKUP($E34,$H$26:$I$34,2,0),"")))</f>
        <v/>
      </c>
      <c r="AS34" s="1">
        <v>9</v>
      </c>
      <c r="AT34" s="1" t="str">
        <f>IF(AT$25&lt;&gt;$G$25,"",IF(AT$25=$G$25,IFERROR(VLOOKUP($E34,$H$26:$I$34,2,0),"")))</f>
        <v/>
      </c>
      <c r="AU34" s="1">
        <v>9</v>
      </c>
      <c r="AV34" s="1" t="str">
        <f>IF(AV$25&lt;&gt;$G$25,"",IF(AV$25=$G$25,IFERROR(VLOOKUP($E34,$H$26:$I$34,2,0),"")))</f>
        <v/>
      </c>
      <c r="AW34" s="1">
        <v>9</v>
      </c>
      <c r="AX34" s="1" t="str">
        <f>IF(AX$25&lt;&gt;$G$25,"",IF(AX$25=$G$25,IFERROR(VLOOKUP($E34,$H$26:$I$34,2,0),"")))</f>
        <v/>
      </c>
      <c r="AY34" s="1">
        <v>9</v>
      </c>
      <c r="AZ34" s="1" t="str">
        <f>IF(AZ$25&lt;&gt;$G$25,"",IF(AZ$25=$G$25,IFERROR(VLOOKUP($E34,$H$26:$I$34,2,0),"")))</f>
        <v/>
      </c>
      <c r="BA34" s="1">
        <v>9</v>
      </c>
      <c r="BB34" s="1" t="str">
        <f>IF(BB$25&lt;&gt;$G$25,"",IF(BB$25=$G$25,IFERROR(VLOOKUP($E34,$H$26:$I$34,2,0),"")))</f>
        <v/>
      </c>
      <c r="BC34" s="1">
        <v>9</v>
      </c>
      <c r="BD34" s="1" t="str">
        <f t="shared" si="21"/>
        <v/>
      </c>
      <c r="BE34" s="1">
        <v>9</v>
      </c>
      <c r="BF34" s="1" t="str">
        <f t="shared" si="22"/>
        <v/>
      </c>
      <c r="BG34" s="1">
        <v>9</v>
      </c>
      <c r="BH34" s="1" t="str">
        <f t="shared" si="23"/>
        <v/>
      </c>
      <c r="BI34" s="1">
        <v>9</v>
      </c>
      <c r="BJ34" s="1" t="str">
        <f t="shared" si="24"/>
        <v/>
      </c>
      <c r="BK34" s="1">
        <v>9</v>
      </c>
      <c r="BL34" s="1" t="str">
        <f t="shared" si="25"/>
        <v/>
      </c>
      <c r="BM34" s="1">
        <v>9</v>
      </c>
      <c r="BN34" s="1" t="str">
        <f t="shared" si="26"/>
        <v/>
      </c>
      <c r="BO34" s="1">
        <v>9</v>
      </c>
      <c r="BP34" s="1" t="str">
        <f>IF(BP$25&lt;&gt;$G$25,"",IF(BP$25=$G$25,IFERROR(VLOOKUP($E34,$H$26:$I$34,2,0),"")))</f>
        <v/>
      </c>
      <c r="BQ34" s="1">
        <v>9</v>
      </c>
      <c r="BR34" s="1" t="str">
        <f>IF(BR$25&lt;&gt;$G$25,"",IF(BR$25=$G$25,IFERROR(VLOOKUP($E34,$H$26:$I$34,2,0),"")))</f>
        <v/>
      </c>
      <c r="BS34" s="1">
        <v>9</v>
      </c>
      <c r="BT34" s="1" t="str">
        <f t="shared" si="37"/>
        <v/>
      </c>
      <c r="BU34" s="1">
        <v>9</v>
      </c>
      <c r="BV34" s="1" t="str">
        <f>IF(BV$25&lt;&gt;$G$25,"",IF(BV$25=$G$25,IFERROR(VLOOKUP($E34,$H$26:$I$34,2,0),"")))</f>
        <v/>
      </c>
      <c r="BW34" s="1">
        <v>9</v>
      </c>
      <c r="BX34" s="1" t="str">
        <f t="shared" si="7"/>
        <v/>
      </c>
      <c r="BY34" s="1">
        <v>9</v>
      </c>
      <c r="BZ34" s="1" t="str">
        <f>IF(BZ$25&lt;&gt;$G$25,"",IF(BZ$25=$G$25,IFERROR(VLOOKUP($E34,$H$26:$I$34,2,0),"")))</f>
        <v/>
      </c>
      <c r="CA34" s="1">
        <v>9</v>
      </c>
      <c r="CB34" s="1" t="str">
        <f t="shared" si="27"/>
        <v/>
      </c>
      <c r="CC34" s="1">
        <v>9</v>
      </c>
      <c r="CD34" s="1" t="str">
        <f t="shared" si="28"/>
        <v/>
      </c>
      <c r="CE34" s="1">
        <v>9</v>
      </c>
      <c r="CF34" s="1" t="str">
        <f t="shared" si="29"/>
        <v/>
      </c>
      <c r="CG34" s="1">
        <v>9</v>
      </c>
      <c r="CH34" s="1" t="str">
        <f t="shared" si="34"/>
        <v/>
      </c>
      <c r="CI34" s="1">
        <v>9</v>
      </c>
      <c r="CJ34" s="1" t="str">
        <f>IF(CJ$25&lt;&gt;$G$25,"",IF(CJ$25=$G$25,IFERROR(VLOOKUP($E34,$H$26:$I$34,2,0),"")))</f>
        <v/>
      </c>
      <c r="CK34" s="1">
        <v>9</v>
      </c>
      <c r="CL34" s="1" t="str">
        <f>IF(CL$25&lt;&gt;$G$25,"",IF(CL$25=$G$25,IFERROR(VLOOKUP($E34,$H$26:$I$34,2,0),"")))</f>
        <v/>
      </c>
      <c r="CM34" s="1">
        <v>9</v>
      </c>
      <c r="CN34" s="1" t="str">
        <f t="shared" si="35"/>
        <v/>
      </c>
      <c r="CO34" s="1">
        <v>9</v>
      </c>
      <c r="CP34" s="1" t="str">
        <f>IF(CP$25&lt;&gt;$G$25,"",IF(CP$25=$G$25,IFERROR(VLOOKUP($E34,$H$26:$I$34,2,0),"")))</f>
        <v/>
      </c>
      <c r="CQ34" s="1">
        <v>9</v>
      </c>
      <c r="CR34" s="1" t="str">
        <f t="shared" si="30"/>
        <v/>
      </c>
      <c r="CS34" s="1">
        <v>9</v>
      </c>
      <c r="CT34" s="1" t="str">
        <f t="shared" si="8"/>
        <v/>
      </c>
      <c r="CU34" s="1">
        <v>9</v>
      </c>
      <c r="CV34" s="1" t="str">
        <f>IF(CV$25&lt;&gt;$G$25,"",IF(CV$25=$G$25,IFERROR(VLOOKUP($E34,$H$26:$I$34,2,0),"")))</f>
        <v/>
      </c>
      <c r="CW34" s="1">
        <v>7</v>
      </c>
      <c r="CX34" s="1" t="str">
        <f>IF(CX$25&lt;&gt;$G$25,"",IF(CX$25=$G$25,IFERROR(VLOOKUP($E32,$H$26:$I$34,2,0),"")))</f>
        <v/>
      </c>
      <c r="CY34" s="1">
        <v>9</v>
      </c>
      <c r="CZ34" s="1" t="str">
        <f>IF(CZ$25&lt;&gt;$G$25,"",IF(CZ$25=$G$25,IFERROR(VLOOKUP($E34,$H$26:$I$34,2,0),"")))</f>
        <v/>
      </c>
      <c r="DA34" s="1">
        <v>9</v>
      </c>
      <c r="DB34" s="1" t="str">
        <f>IF(DB$25&lt;&gt;$G$25,"",IF(DB$25=$G$25,IFERROR(VLOOKUP($E34,$H$26:$I$34,2,0),"")))</f>
        <v/>
      </c>
      <c r="DC34" s="1">
        <v>7</v>
      </c>
      <c r="DD34" s="1" t="str">
        <f>IF(DD$25&lt;&gt;$G$25,"",IF(DD$25=$G$25,IFERROR(VLOOKUP($E32,$H$26:$I$34,2,0),"")))</f>
        <v/>
      </c>
      <c r="DE34" s="1">
        <v>9</v>
      </c>
      <c r="DF34" s="1" t="str">
        <f>IF(DF$25&lt;&gt;$G$25,"",IF(DF$25=$G$25,IFERROR(VLOOKUP($E34,$H$26:$I$34,2,0),"")))</f>
        <v/>
      </c>
      <c r="DG34" s="25">
        <v>9</v>
      </c>
      <c r="DH34" s="1" t="str">
        <f t="shared" si="32"/>
        <v/>
      </c>
      <c r="DI34" s="1">
        <v>8</v>
      </c>
      <c r="DJ34" s="1" t="str">
        <f>IF(DJ$25&lt;&gt;$G$25,"",IF(DJ$25=$G$25,IFERROR(VLOOKUP($E33,$H$26:$I$34,2,0),"")))</f>
        <v/>
      </c>
      <c r="DK34" s="1">
        <v>8</v>
      </c>
      <c r="DL34" s="1" t="str">
        <f t="shared" si="38"/>
        <v/>
      </c>
      <c r="DM34" s="1">
        <v>9</v>
      </c>
      <c r="DN34" s="1" t="str">
        <f t="shared" si="33"/>
        <v/>
      </c>
    </row>
    <row r="35" spans="1:118" x14ac:dyDescent="0.25">
      <c r="E35" s="1">
        <v>10</v>
      </c>
      <c r="V35" s="1" t="str">
        <f>V22&amp;V23&amp;V24</f>
        <v>200</v>
      </c>
      <c r="X35" s="1" t="str">
        <f>X22&amp;X23&amp;X24</f>
        <v>110</v>
      </c>
      <c r="Z35" s="1" t="str">
        <f>Z22&amp;Z23&amp;Z24</f>
        <v>300</v>
      </c>
      <c r="AB35" s="1" t="str">
        <f>AB22&amp;AB23&amp;AB24</f>
        <v>210</v>
      </c>
      <c r="AD35" s="1" t="str">
        <f>AD22&amp;AD23&amp;AD24</f>
        <v>120</v>
      </c>
      <c r="AF35" s="1" t="str">
        <f>AF22&amp;AF23&amp;AF24</f>
        <v>310</v>
      </c>
      <c r="AH35" s="1" t="str">
        <f>AH22&amp;AH23&amp;AH24</f>
        <v>301</v>
      </c>
      <c r="AJ35" s="1" t="str">
        <f>AJ22&amp;AJ23&amp;AJ24</f>
        <v>220</v>
      </c>
      <c r="AL35" s="1" t="str">
        <f>AL22&amp;AL23&amp;AL24</f>
        <v>211</v>
      </c>
      <c r="AN35" s="1" t="str">
        <f>AN22&amp;AN23&amp;AN24</f>
        <v>202</v>
      </c>
      <c r="AP35" s="1" t="str">
        <f>AP22&amp;AP23&amp;AP24</f>
        <v>130</v>
      </c>
      <c r="AR35" s="1" t="str">
        <f>AR22&amp;AR23&amp;AR24</f>
        <v>121</v>
      </c>
      <c r="AT35" s="1" t="str">
        <f>AT22&amp;AT23&amp;AT24</f>
        <v>112</v>
      </c>
      <c r="AV35" s="1" t="str">
        <f>AV22&amp;AV23&amp;AV24</f>
        <v>103</v>
      </c>
      <c r="AX35" s="1" t="str">
        <f>AX22&amp;AX23&amp;AX24</f>
        <v>031</v>
      </c>
      <c r="AZ35" s="1" t="str">
        <f>AZ22&amp;AZ23&amp;AZ24</f>
        <v>022</v>
      </c>
      <c r="BB35" s="1" t="str">
        <f>BB22&amp;BB23&amp;BB24</f>
        <v>013</v>
      </c>
      <c r="BD35" s="1" t="str">
        <f>BD22&amp;BD23&amp;BD24</f>
        <v>320</v>
      </c>
      <c r="BF35" s="1" t="str">
        <f>BF22&amp;BF23&amp;BF24</f>
        <v>311</v>
      </c>
      <c r="BH35" s="1" t="str">
        <f>BH22&amp;BH23&amp;BH24</f>
        <v>302</v>
      </c>
      <c r="BJ35" s="1" t="str">
        <f>BJ22&amp;BJ23&amp;BJ24</f>
        <v>230</v>
      </c>
      <c r="BL35" s="1" t="str">
        <f>BL22&amp;BL23&amp;BL24</f>
        <v>221</v>
      </c>
      <c r="BN35" s="1" t="str">
        <f>BN22&amp;BN23&amp;BN24</f>
        <v>212</v>
      </c>
      <c r="BP35" s="1" t="str">
        <f>BP22&amp;BP23&amp;BP24</f>
        <v>203</v>
      </c>
      <c r="BR35" s="1" t="str">
        <f>BR22&amp;BR23&amp;BR24</f>
        <v>131</v>
      </c>
      <c r="BS35" s="1"/>
      <c r="BT35" s="1" t="str">
        <f>BT22&amp;BT23&amp;BT24</f>
        <v>122</v>
      </c>
      <c r="BU35" s="1"/>
      <c r="BV35" s="1" t="str">
        <f>BV22&amp;BV23&amp;BV24</f>
        <v>113</v>
      </c>
      <c r="BW35" s="1"/>
      <c r="BX35" s="1" t="str">
        <f>BX22&amp;BX23&amp;BX24</f>
        <v>032</v>
      </c>
      <c r="BY35" s="1"/>
      <c r="BZ35" s="1" t="str">
        <f>BZ22&amp;BZ23&amp;BZ24</f>
        <v>023</v>
      </c>
      <c r="CA35" s="1"/>
      <c r="CB35" s="1" t="str">
        <f>CB22&amp;CB23&amp;CB24</f>
        <v>330</v>
      </c>
      <c r="CD35" s="1" t="str">
        <f>CD22&amp;CD23&amp;CD24</f>
        <v>321</v>
      </c>
      <c r="CF35" s="1" t="str">
        <f>CF22&amp;CF23&amp;CF24</f>
        <v>312</v>
      </c>
      <c r="CH35" s="1" t="str">
        <f>CH22&amp;CH23&amp;CH24</f>
        <v>303</v>
      </c>
      <c r="CJ35" s="1" t="str">
        <f>CJ22&amp;CJ23&amp;CJ24</f>
        <v>231</v>
      </c>
      <c r="CL35" s="1" t="str">
        <f>CL22&amp;CL23&amp;CL24</f>
        <v>222</v>
      </c>
      <c r="CN35" s="1" t="str">
        <f>CN22&amp;CN23&amp;CN24</f>
        <v>213</v>
      </c>
      <c r="CP35" s="1" t="str">
        <f>CP22&amp;CP23&amp;CP24</f>
        <v>132</v>
      </c>
      <c r="CR35" s="1" t="str">
        <f>CR22&amp;CR23&amp;CR24</f>
        <v>123</v>
      </c>
      <c r="CT35" s="1" t="str">
        <f>CT22&amp;CT23&amp;CT24</f>
        <v>033</v>
      </c>
      <c r="CV35" s="1" t="str">
        <f>CV22&amp;CV23&amp;CV24</f>
        <v>331</v>
      </c>
      <c r="CX35" s="1" t="str">
        <f>CX22&amp;CX23&amp;CX24</f>
        <v>313</v>
      </c>
      <c r="CZ35" s="1" t="str">
        <f>CZ22&amp;CZ23&amp;CZ24</f>
        <v>322</v>
      </c>
      <c r="DB35" s="1" t="str">
        <f>DB22&amp;DB23&amp;DB24</f>
        <v>232</v>
      </c>
      <c r="DD35" s="1" t="str">
        <f>DD22&amp;DD23&amp;DD24</f>
        <v>223</v>
      </c>
      <c r="DF35" s="1" t="str">
        <f>DF22&amp;DF23&amp;DF24</f>
        <v>133</v>
      </c>
      <c r="DH35" s="1" t="str">
        <f>DH22&amp;DH23&amp;DH24</f>
        <v>332</v>
      </c>
      <c r="DJ35" s="1" t="str">
        <f>DJ22&amp;DJ23&amp;DJ24</f>
        <v>323</v>
      </c>
      <c r="DL35" s="1" t="str">
        <f>DL22&amp;DL23&amp;DL24</f>
        <v>233</v>
      </c>
      <c r="DN35" s="1" t="str">
        <f>DN22&amp;DN23&amp;DN24</f>
        <v>333</v>
      </c>
    </row>
    <row r="36" spans="1:118" x14ac:dyDescent="0.25">
      <c r="G36"/>
      <c r="I36" s="1" t="e">
        <f t="shared" ref="I36:I44" si="39">HLOOKUP($G$25,$V$25:$DN$34,E27,0)</f>
        <v>#N/A</v>
      </c>
      <c r="V36" s="1">
        <v>2</v>
      </c>
      <c r="X36" s="1">
        <v>3</v>
      </c>
      <c r="Z36" s="1">
        <v>3</v>
      </c>
      <c r="AB36" s="1">
        <v>3</v>
      </c>
      <c r="AD36" s="1">
        <v>3</v>
      </c>
      <c r="AF36" s="1">
        <v>2</v>
      </c>
      <c r="AH36" s="1">
        <v>2</v>
      </c>
      <c r="AJ36" s="1">
        <v>2</v>
      </c>
      <c r="AL36" s="1">
        <v>2</v>
      </c>
      <c r="AN36" s="1">
        <v>2</v>
      </c>
      <c r="AP36" s="1">
        <v>2</v>
      </c>
      <c r="AR36" s="1">
        <v>2</v>
      </c>
      <c r="AT36" s="1">
        <v>2</v>
      </c>
      <c r="AV36" s="1">
        <v>2</v>
      </c>
      <c r="AX36" s="1">
        <v>2</v>
      </c>
      <c r="AZ36" s="1">
        <v>2</v>
      </c>
      <c r="BB36" s="1">
        <v>2</v>
      </c>
      <c r="BD36" s="1">
        <v>3</v>
      </c>
      <c r="BF36" s="1">
        <v>3</v>
      </c>
      <c r="BH36" s="1">
        <v>3</v>
      </c>
      <c r="BJ36" s="1">
        <v>2</v>
      </c>
      <c r="BL36" s="1">
        <v>3</v>
      </c>
      <c r="BN36" s="1">
        <v>3</v>
      </c>
      <c r="BP36" s="1">
        <v>2</v>
      </c>
      <c r="BR36" s="1">
        <v>3</v>
      </c>
      <c r="BS36" s="1"/>
      <c r="BT36" s="1">
        <v>2</v>
      </c>
      <c r="BU36" s="1"/>
      <c r="BV36" s="1">
        <v>2</v>
      </c>
      <c r="BW36" s="1"/>
      <c r="BX36" s="1">
        <v>3</v>
      </c>
      <c r="BY36" s="1"/>
      <c r="BZ36" s="1">
        <v>2</v>
      </c>
      <c r="CA36" s="1"/>
      <c r="CB36" s="1">
        <v>3</v>
      </c>
      <c r="CD36" s="1">
        <v>3</v>
      </c>
      <c r="CF36" s="1">
        <v>3</v>
      </c>
      <c r="CH36" s="1">
        <v>3</v>
      </c>
      <c r="CJ36" s="1">
        <v>3</v>
      </c>
      <c r="CL36" s="1">
        <v>3</v>
      </c>
      <c r="CN36" s="1">
        <v>3</v>
      </c>
      <c r="CP36" s="1">
        <v>3</v>
      </c>
      <c r="CR36" s="1">
        <v>3</v>
      </c>
      <c r="CT36" s="1">
        <v>3</v>
      </c>
      <c r="CV36" s="1">
        <v>3</v>
      </c>
      <c r="CX36" s="1">
        <v>2</v>
      </c>
      <c r="CZ36" s="1">
        <v>3</v>
      </c>
      <c r="DB36" s="1">
        <v>2</v>
      </c>
      <c r="DD36" s="1">
        <v>2</v>
      </c>
      <c r="DF36" s="1">
        <v>2</v>
      </c>
      <c r="DH36" s="1">
        <v>3</v>
      </c>
      <c r="DJ36" s="1">
        <v>3</v>
      </c>
      <c r="DL36" s="1">
        <v>2</v>
      </c>
      <c r="DN36" s="1">
        <v>3</v>
      </c>
    </row>
    <row r="37" spans="1:118" x14ac:dyDescent="0.25">
      <c r="E37" s="1" t="e">
        <f>HLOOKUP($G$25,$V$25:$DN$38,12,0)</f>
        <v>#N/A</v>
      </c>
      <c r="G37"/>
      <c r="I37" s="1" t="e">
        <f t="shared" si="39"/>
        <v>#N/A</v>
      </c>
      <c r="AF37" s="1">
        <v>2</v>
      </c>
      <c r="AH37" s="1">
        <v>2</v>
      </c>
      <c r="AJ37" s="1">
        <v>2</v>
      </c>
      <c r="AL37" s="1">
        <v>2</v>
      </c>
      <c r="AN37" s="1">
        <v>2</v>
      </c>
      <c r="AP37" s="1">
        <v>2</v>
      </c>
      <c r="AR37" s="1">
        <v>2</v>
      </c>
      <c r="AT37" s="1">
        <v>2</v>
      </c>
      <c r="AV37" s="1">
        <v>2</v>
      </c>
      <c r="AX37" s="1">
        <v>2</v>
      </c>
      <c r="AZ37" s="1">
        <v>2</v>
      </c>
      <c r="BB37" s="1">
        <v>2</v>
      </c>
      <c r="BD37" s="1">
        <v>2</v>
      </c>
      <c r="BF37" s="1">
        <v>2</v>
      </c>
      <c r="BH37" s="1">
        <v>2</v>
      </c>
      <c r="BJ37" s="1">
        <v>3</v>
      </c>
      <c r="BL37" s="1">
        <v>2</v>
      </c>
      <c r="BN37" s="1">
        <v>2</v>
      </c>
      <c r="BP37" s="1">
        <v>3</v>
      </c>
      <c r="BR37" s="1">
        <v>2</v>
      </c>
      <c r="BS37" s="1"/>
      <c r="BT37" s="1">
        <v>3</v>
      </c>
      <c r="BU37" s="1"/>
      <c r="BV37" s="1">
        <v>3</v>
      </c>
      <c r="BW37" s="1"/>
      <c r="BX37" s="1">
        <v>2</v>
      </c>
      <c r="BY37" s="1"/>
      <c r="BZ37" s="1">
        <v>3</v>
      </c>
      <c r="CA37" s="1"/>
      <c r="CB37" s="1">
        <v>3</v>
      </c>
      <c r="CD37" s="1">
        <v>3</v>
      </c>
      <c r="CF37" s="1">
        <v>3</v>
      </c>
      <c r="CH37" s="1">
        <v>3</v>
      </c>
      <c r="CJ37" s="1">
        <v>3</v>
      </c>
      <c r="CL37" s="1">
        <v>3</v>
      </c>
      <c r="CN37" s="1">
        <v>3</v>
      </c>
      <c r="CP37" s="1">
        <v>3</v>
      </c>
      <c r="CR37" s="1">
        <v>3</v>
      </c>
      <c r="CT37" s="1">
        <v>3</v>
      </c>
      <c r="CV37" s="1">
        <v>2</v>
      </c>
      <c r="CX37" s="1">
        <v>2</v>
      </c>
      <c r="CZ37" s="1">
        <v>2</v>
      </c>
      <c r="DB37" s="1">
        <v>3</v>
      </c>
      <c r="DD37" s="1">
        <v>2</v>
      </c>
      <c r="DF37" s="1">
        <v>3</v>
      </c>
      <c r="DH37" s="1">
        <v>3</v>
      </c>
      <c r="DJ37" s="1">
        <v>2</v>
      </c>
      <c r="DL37" s="1">
        <v>3</v>
      </c>
      <c r="DN37" s="1">
        <v>3</v>
      </c>
    </row>
    <row r="38" spans="1:118" x14ac:dyDescent="0.25">
      <c r="G38"/>
      <c r="I38" s="1" t="e">
        <f t="shared" si="39"/>
        <v>#N/A</v>
      </c>
      <c r="CA38" s="1"/>
      <c r="CV38" s="1">
        <v>2</v>
      </c>
      <c r="CX38" s="1">
        <v>3</v>
      </c>
      <c r="CZ38" s="1">
        <v>2</v>
      </c>
      <c r="DB38" s="1">
        <v>2</v>
      </c>
      <c r="DD38" s="1">
        <v>3</v>
      </c>
      <c r="DF38" s="1">
        <v>2</v>
      </c>
      <c r="DH38" s="1">
        <v>2</v>
      </c>
      <c r="DJ38" s="1">
        <v>3</v>
      </c>
      <c r="DL38" s="1">
        <v>3</v>
      </c>
      <c r="DN38" s="1">
        <v>3</v>
      </c>
    </row>
    <row r="39" spans="1:118" x14ac:dyDescent="0.25">
      <c r="G39"/>
      <c r="I39" s="1" t="e">
        <f t="shared" si="39"/>
        <v>#N/A</v>
      </c>
      <c r="BS39" s="1"/>
      <c r="BT39" s="1"/>
      <c r="BU39" s="1"/>
      <c r="BV39" s="1"/>
      <c r="BW39" s="1"/>
      <c r="BX39" s="1"/>
      <c r="BY39" s="1"/>
      <c r="BZ39" s="1"/>
      <c r="CA39" s="1"/>
    </row>
    <row r="40" spans="1:118" x14ac:dyDescent="0.25">
      <c r="E40" s="1" t="e">
        <f>HLOOKUP($G$25,$V$25:$DN$38,13,0)</f>
        <v>#N/A</v>
      </c>
      <c r="G40"/>
      <c r="I40" s="1" t="e">
        <f t="shared" si="39"/>
        <v>#N/A</v>
      </c>
    </row>
    <row r="41" spans="1:118" x14ac:dyDescent="0.25">
      <c r="G41"/>
      <c r="I41" s="1" t="e">
        <f t="shared" si="39"/>
        <v>#N/A</v>
      </c>
    </row>
    <row r="42" spans="1:118" x14ac:dyDescent="0.25">
      <c r="G42"/>
      <c r="I42" s="1" t="e">
        <f t="shared" si="39"/>
        <v>#N/A</v>
      </c>
    </row>
    <row r="43" spans="1:118" x14ac:dyDescent="0.25">
      <c r="E43" s="1" t="e">
        <f>HLOOKUP($G$25,$V$25:$DN$38,14,0)</f>
        <v>#N/A</v>
      </c>
      <c r="G43"/>
      <c r="I43" s="1" t="e">
        <f t="shared" si="39"/>
        <v>#N/A</v>
      </c>
      <c r="V43" s="1" t="s">
        <v>121</v>
      </c>
      <c r="X43" s="1" t="s">
        <v>121</v>
      </c>
      <c r="Z43" s="1" t="s">
        <v>121</v>
      </c>
      <c r="AB43" s="1" t="s">
        <v>121</v>
      </c>
      <c r="AD43" s="1" t="s">
        <v>121</v>
      </c>
      <c r="BD43" s="1" t="s">
        <v>121</v>
      </c>
      <c r="BF43" s="1" t="s">
        <v>121</v>
      </c>
      <c r="BH43" s="1" t="s">
        <v>121</v>
      </c>
      <c r="BN43" s="1" t="s">
        <v>121</v>
      </c>
      <c r="CB43" s="1" t="s">
        <v>121</v>
      </c>
      <c r="CD43" s="1" t="s">
        <v>121</v>
      </c>
      <c r="CF43" s="1" t="s">
        <v>121</v>
      </c>
    </row>
    <row r="44" spans="1:118" x14ac:dyDescent="0.25">
      <c r="G44"/>
      <c r="I44" s="1" t="e">
        <f t="shared" si="39"/>
        <v>#N/A</v>
      </c>
    </row>
  </sheetData>
  <sheetProtection algorithmName="SHA-512" hashValue="u1DepnwmKa5VP2GE1ey+rc93zQIUp+GFjp4pRCRR+x4ObqOBHc6U/53lnvV5EE1YayaJk8Giv1NYy/qxnFWnpQ==" saltValue="Slu1Q2sUY3O/SkzhM66dNQ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B1:AU39"/>
  <sheetViews>
    <sheetView topLeftCell="A4" workbookViewId="0">
      <selection activeCell="G13" sqref="G13"/>
    </sheetView>
  </sheetViews>
  <sheetFormatPr baseColWidth="10" defaultRowHeight="15" x14ac:dyDescent="0.25"/>
  <cols>
    <col min="1" max="1" width="2.5703125" customWidth="1"/>
    <col min="2" max="2" width="8.140625" bestFit="1" customWidth="1"/>
    <col min="3" max="3" width="16.42578125" customWidth="1"/>
    <col min="4" max="4" width="4" bestFit="1" customWidth="1"/>
    <col min="5" max="5" width="4.42578125" bestFit="1" customWidth="1"/>
    <col min="6" max="6" width="3.85546875" bestFit="1" customWidth="1"/>
    <col min="7" max="7" width="4.85546875" bestFit="1" customWidth="1"/>
    <col min="8" max="8" width="6.5703125" customWidth="1"/>
    <col min="9" max="11" width="3" bestFit="1" customWidth="1"/>
    <col min="12" max="12" width="2.7109375" customWidth="1"/>
    <col min="13" max="13" width="7.5703125" customWidth="1"/>
    <col min="14" max="14" width="15.42578125" customWidth="1"/>
    <col min="15" max="15" width="3.7109375" bestFit="1" customWidth="1"/>
    <col min="16" max="16" width="4.42578125" bestFit="1" customWidth="1"/>
    <col min="17" max="17" width="3.85546875" bestFit="1" customWidth="1"/>
    <col min="18" max="18" width="4.85546875" bestFit="1" customWidth="1"/>
    <col min="19" max="19" width="4.85546875" customWidth="1"/>
    <col min="20" max="22" width="3" bestFit="1" customWidth="1"/>
    <col min="23" max="23" width="2" customWidth="1"/>
    <col min="24" max="24" width="6" customWidth="1"/>
    <col min="25" max="25" width="8.140625" customWidth="1"/>
    <col min="26" max="26" width="16" customWidth="1"/>
    <col min="27" max="27" width="3.7109375" bestFit="1" customWidth="1"/>
    <col min="28" max="28" width="4.42578125" bestFit="1" customWidth="1"/>
    <col min="29" max="29" width="3.85546875" bestFit="1" customWidth="1"/>
    <col min="30" max="30" width="4.85546875" bestFit="1" customWidth="1"/>
    <col min="31" max="31" width="4.85546875" customWidth="1"/>
    <col min="32" max="34" width="3" bestFit="1" customWidth="1"/>
    <col min="35" max="35" width="3" customWidth="1"/>
    <col min="36" max="36" width="15.42578125" customWidth="1"/>
    <col min="37" max="41" width="9.140625" customWidth="1"/>
    <col min="43" max="43" width="9.7109375" customWidth="1"/>
    <col min="44" max="49" width="5.7109375" customWidth="1"/>
  </cols>
  <sheetData>
    <row r="1" spans="2:42" x14ac:dyDescent="0.25">
      <c r="AJ1" t="str">
        <f>AK7</f>
        <v>POULE 1</v>
      </c>
      <c r="AK1" s="1">
        <f>HLOOKUP(AJ1,$AK$5:$AM$6,2,0)</f>
        <v>3</v>
      </c>
      <c r="AL1" t="str">
        <f>AM1&amp;AN1&amp;AO1&amp;AP1</f>
        <v>9333</v>
      </c>
      <c r="AM1">
        <f>B3</f>
        <v>9</v>
      </c>
      <c r="AN1">
        <f>AK6</f>
        <v>3</v>
      </c>
      <c r="AO1">
        <f>AL6</f>
        <v>3</v>
      </c>
      <c r="AP1">
        <f>AM6</f>
        <v>3</v>
      </c>
    </row>
    <row r="2" spans="2:42" x14ac:dyDescent="0.25">
      <c r="AJ2" t="str">
        <f>AL7</f>
        <v>POULE 2</v>
      </c>
      <c r="AK2" s="1">
        <f>HLOOKUP(AJ2,$AK$5:$AM$6,2,0)</f>
        <v>3</v>
      </c>
    </row>
    <row r="3" spans="2:42" x14ac:dyDescent="0.25">
      <c r="B3" s="27">
        <f>'Calc Inscription Joueurs'!A1</f>
        <v>9</v>
      </c>
      <c r="D3">
        <v>100</v>
      </c>
      <c r="F3">
        <v>1</v>
      </c>
      <c r="G3">
        <v>1E-3</v>
      </c>
      <c r="AJ3" t="str">
        <f>AM7</f>
        <v>POULE 3</v>
      </c>
      <c r="AK3" s="1">
        <f>HLOOKUP(AJ3,$AK$5:$AM$6,2,0)</f>
        <v>3</v>
      </c>
    </row>
    <row r="4" spans="2:42" ht="15.75" thickBot="1" x14ac:dyDescent="0.3">
      <c r="C4" t="str">
        <f>'Calc Inscription Joueurs'!C5</f>
        <v>2 Sets Gagnants 60 pts</v>
      </c>
      <c r="N4" t="str">
        <f>C4</f>
        <v>2 Sets Gagnants 60 pts</v>
      </c>
      <c r="Z4" t="str">
        <f>IF(Z5="","",$C$4)</f>
        <v>2 Sets Gagnants 60 pts</v>
      </c>
    </row>
    <row r="5" spans="2:42" x14ac:dyDescent="0.25">
      <c r="B5" s="26" t="str">
        <f>'Calc Inscription Joueurs'!A16</f>
        <v>Aucune</v>
      </c>
      <c r="C5" s="4" t="s">
        <v>107</v>
      </c>
      <c r="D5" s="5" t="s">
        <v>98</v>
      </c>
      <c r="E5" s="5" t="s">
        <v>99</v>
      </c>
      <c r="F5" s="5" t="s">
        <v>100</v>
      </c>
      <c r="G5" s="6" t="s">
        <v>101</v>
      </c>
      <c r="I5" t="s">
        <v>336</v>
      </c>
      <c r="J5" t="s">
        <v>337</v>
      </c>
      <c r="K5" t="s">
        <v>338</v>
      </c>
      <c r="M5" s="26" t="str">
        <f>'Calc Inscription Joueurs'!A16</f>
        <v>Aucune</v>
      </c>
      <c r="N5" s="4" t="str">
        <f>IF(B3=3,"","Match 1")</f>
        <v>Match 1</v>
      </c>
      <c r="O5" s="5" t="s">
        <v>98</v>
      </c>
      <c r="P5" s="5" t="s">
        <v>99</v>
      </c>
      <c r="Q5" s="5" t="s">
        <v>100</v>
      </c>
      <c r="R5" s="6" t="s">
        <v>101</v>
      </c>
      <c r="T5" t="s">
        <v>336</v>
      </c>
      <c r="U5" t="s">
        <v>337</v>
      </c>
      <c r="V5" t="s">
        <v>338</v>
      </c>
      <c r="Y5" s="26" t="str">
        <f>'Calc Inscription Joueurs'!A16</f>
        <v>Aucune</v>
      </c>
      <c r="Z5" s="4" t="str">
        <f>IF($B$3&lt;7,"","Match 1")</f>
        <v>Match 1</v>
      </c>
      <c r="AA5" s="5" t="str">
        <f>IF(Z5="","","Pts")</f>
        <v>Pts</v>
      </c>
      <c r="AB5" s="5" t="str">
        <f>IF(Z5="","","Rep")</f>
        <v>Rep</v>
      </c>
      <c r="AC5" s="5" t="str">
        <f>IF(Z5="","","Sér")</f>
        <v>Sér</v>
      </c>
      <c r="AD5" s="6" t="str">
        <f>IF(Z5="","","Moy")</f>
        <v>Moy</v>
      </c>
      <c r="AF5" t="s">
        <v>336</v>
      </c>
      <c r="AG5" t="s">
        <v>337</v>
      </c>
      <c r="AH5" t="s">
        <v>338</v>
      </c>
      <c r="AK5" t="str">
        <f>AK7</f>
        <v>POULE 1</v>
      </c>
      <c r="AL5" t="str">
        <f>AL7</f>
        <v>POULE 2</v>
      </c>
      <c r="AM5" t="str">
        <f>AM7</f>
        <v>POULE 3</v>
      </c>
      <c r="AP5">
        <v>5</v>
      </c>
    </row>
    <row r="6" spans="2:42" x14ac:dyDescent="0.25">
      <c r="B6" t="str">
        <f>IF(B5=$AO$9,$AM$7,IF(B5=$AO$8,$AL$7,IF(B5=$AO$7,$AK$7,IF(B5=$AO$6,$AK$7,""))))</f>
        <v>POULE 1</v>
      </c>
      <c r="C6" s="7" t="e">
        <f>IF(B3=AN14,AK9,IF(B3=AN15,AK8,IF(B7=0,"",IF(AND(B7=2,B6=$AK$7),$AK$8,IF(AND(B7=2,B6=$AL$7),$AL$8,IF(AND(B7=2,B6=$AM$7),$AM$8,IF(AND(B7=3,B6=$AK$7),$AK$9,IF(AND(B7=3,B6=$AL$7),$AL$9,IF(AND(B7=3,B6=$AM$7),$AM$9,"")))))))))</f>
        <v>#N/A</v>
      </c>
      <c r="D6">
        <f>'FEUILLE DE RESULTATS'!D7</f>
        <v>0</v>
      </c>
      <c r="E6" t="str">
        <f>'FEUILLE DE RESULTATS'!E7</f>
        <v/>
      </c>
      <c r="F6">
        <f>'FEUILLE DE RESULTATS'!F7</f>
        <v>0</v>
      </c>
      <c r="G6" s="26">
        <f>D6</f>
        <v>0</v>
      </c>
      <c r="H6">
        <f>G7</f>
        <v>0</v>
      </c>
      <c r="I6" s="26">
        <f>IF(D6=0,0,IF(D6&gt;D7,3,1))</f>
        <v>0</v>
      </c>
      <c r="J6" s="26">
        <f>IF(E6=0,0,IF(E6&gt;E7,3,1))</f>
        <v>1</v>
      </c>
      <c r="K6" s="26">
        <f>IF(F6=0,0,IF(F6&gt;F7,3,1))</f>
        <v>0</v>
      </c>
      <c r="L6">
        <f>IF(AND(I6=0,I7=0),0,IF(I6+J6=6,3,IF(I6+J6=2,0,IF(I6+J6+K6=7,2,1))))</f>
        <v>0</v>
      </c>
      <c r="M6" t="str">
        <f>IF(M5=$AO$9,$AK$7,IF(M5=$AO$8,$AM$7,IF(M5=$AO$7,$AL$7,IF(M5=$AO$6,$AL$7,""))))</f>
        <v>POULE 2</v>
      </c>
      <c r="N6" s="7" t="e">
        <f>IF(M7=0,"",IF(AND(M7=2,M6=$AK$7),$AK$8,IF(AND(M7=2,M6=$AL$7),$AL$8,IF(AND(M7=2,M6=$AM$7),$AM$8,IF(AND(M7=3,M6=$AK$7),$AK$9,IF(AND(M7=3,M6=$AL$7),$AL$9,IF(AND(M7=3,M6=$AM$7),$AM$9,"")))))))</f>
        <v>#N/A</v>
      </c>
      <c r="O6">
        <f>'FEUILLE DE RESULTATS'!D20</f>
        <v>0</v>
      </c>
      <c r="P6" t="str">
        <f>'FEUILLE DE RESULTATS'!E20</f>
        <v/>
      </c>
      <c r="Q6">
        <f>'FEUILLE DE RESULTATS'!F20</f>
        <v>0</v>
      </c>
      <c r="R6" s="26">
        <f>O6</f>
        <v>0</v>
      </c>
      <c r="S6">
        <f>R7</f>
        <v>0</v>
      </c>
      <c r="T6" s="26">
        <f>IF(O6=0,0,IF(O6&gt;O7,3,1))</f>
        <v>0</v>
      </c>
      <c r="U6" s="26">
        <f>IF(P6=0,0,IF(P6&gt;P7,3,1))</f>
        <v>1</v>
      </c>
      <c r="V6" s="26">
        <f>IF(Q6=0,0,IF(Q6&gt;Q7,3,1))</f>
        <v>0</v>
      </c>
      <c r="W6">
        <f>IF(AND(T6=0,T7=0),0,IF(T6+U6=6,3,IF(T6+U6=2,0,IF(T6+U6+V6=7,2,1))))</f>
        <v>0</v>
      </c>
      <c r="Y6" t="str">
        <f>IF(Y5=$AO$9,$AL$7,IF(Y5=$AO$8,$AK$7,IF(Y5=$AO$7,$AM$7,IF(Y5=$AO$6,$AM$7,""))))</f>
        <v>POULE 3</v>
      </c>
      <c r="Z6" s="7" t="e">
        <f>IF(Y7=0,"",IF(AND(Y7=2,Y6=$AK$7),$AK$8,IF(AND(Y7=2,Y6=$AL$7),$AL$8,IF(AND(Y7=2,Y6=$AM$7),$AM$8,IF(AND(Y7=3,Y6=$AK$7),$AK$9,IF(AND(Y7=3,Y6=$AL$7),$AL$9,IF(AND(Y7=3,Y6=$AM$7),$AM$9,"")))))))</f>
        <v>#N/A</v>
      </c>
      <c r="AA6">
        <f>'FEUILLE DE RESULTATS'!D33</f>
        <v>0</v>
      </c>
      <c r="AB6" t="str">
        <f>'FEUILLE DE RESULTATS'!E33</f>
        <v/>
      </c>
      <c r="AC6">
        <f>'FEUILLE DE RESULTATS'!F33</f>
        <v>0</v>
      </c>
      <c r="AD6" s="26">
        <f>AA6</f>
        <v>0</v>
      </c>
      <c r="AE6">
        <f>AD7</f>
        <v>0</v>
      </c>
      <c r="AF6" s="26">
        <f>IF(AA6=0,0,IF(AA6&gt;AA7,3,1))</f>
        <v>0</v>
      </c>
      <c r="AG6" s="26">
        <f>IF(AB6=0,0,IF(AB6&gt;AB7,3,1))</f>
        <v>1</v>
      </c>
      <c r="AH6" s="26">
        <f>IF(AC6=0,0,IF(AC6&gt;AC7,3,1))</f>
        <v>0</v>
      </c>
      <c r="AI6">
        <f>IF(AND(AF6=0,AF7=0),0,IF(AF6+AG6=6,3,IF(AF6+AG6=2,0,IF(AF6+AG6+AH6=7,2,1))))</f>
        <v>0</v>
      </c>
      <c r="AK6" s="1">
        <f>'Calc Inscription Joueurs'!A7</f>
        <v>3</v>
      </c>
      <c r="AL6" s="1">
        <f>'Calc Inscription Joueurs'!A10</f>
        <v>3</v>
      </c>
      <c r="AM6" s="1">
        <f>'Calc Inscription Joueurs'!A13</f>
        <v>3</v>
      </c>
      <c r="AN6" t="s">
        <v>117</v>
      </c>
      <c r="AO6" t="str">
        <f>LISTE!F2</f>
        <v>Aucune</v>
      </c>
      <c r="AP6">
        <v>6</v>
      </c>
    </row>
    <row r="7" spans="2:42" ht="15.75" thickBot="1" x14ac:dyDescent="0.3">
      <c r="B7" s="42">
        <f>VLOOKUP($B$6,$AJ$1:$AK$3,2,0)</f>
        <v>3</v>
      </c>
      <c r="C7" s="8" t="e">
        <f>IF(B3=3,AK10,IF(B3=2,AK9,IF(B7=0,"",IF(AND(B7=2,B6=$AK$7),$AK$9,IF(AND(B7=2,B6=$AL$7),$AL$9,IF(AND(B7=2,B6=$AM$7),$AM$9,IF(AND(B7=3,B6=$AK$7),$AK$10,IF(AND(B7=3,B6=$AL$7),$AL$10,IF(AND(B7=3,B6=$AM$7),$AM$10,"")))))))))</f>
        <v>#N/A</v>
      </c>
      <c r="D7" s="9">
        <f>'FEUILLE DE RESULTATS'!D8</f>
        <v>0</v>
      </c>
      <c r="E7" t="str">
        <f>'FEUILLE DE RESULTATS'!E8</f>
        <v/>
      </c>
      <c r="F7" s="9">
        <f>'FEUILLE DE RESULTATS'!F8</f>
        <v>0</v>
      </c>
      <c r="G7" s="26">
        <f>D7</f>
        <v>0</v>
      </c>
      <c r="H7">
        <f>G6</f>
        <v>0</v>
      </c>
      <c r="I7" s="26">
        <f>IF(D7=0,0,IF(D7&gt;D6,3,1))</f>
        <v>0</v>
      </c>
      <c r="J7" s="26">
        <f>IF(E7=0,0,IF(E7&gt;E6,3,1))</f>
        <v>1</v>
      </c>
      <c r="K7" s="26">
        <f>IF(F7=0,0,IF(F7&gt;F6,3,1))</f>
        <v>0</v>
      </c>
      <c r="L7">
        <f>IF(AND(I7=0,I8=0),0,IF(I7+J7=6,3,IF(I7+J7=2,0,IF(I7+J7+K7=7,2,1))))</f>
        <v>0</v>
      </c>
      <c r="M7" s="42">
        <f>VLOOKUP($M$6,$AJ$1:$AK$3,2,0)</f>
        <v>3</v>
      </c>
      <c r="N7" s="8" t="e">
        <f>IF(M7=0,"",IF(AND(M7=2,M6=$AK$7),$AK$9,IF(AND(M7=2,M6=$AL$7),$AL$9,IF(AND(M7=2,M6=$AM$7),$AM$9,IF(AND(M7=3,M6=$AK$7),$AK$10,IF(AND(M7=3,M6=$AL$7),$AL$10,IF(AND(M7=3,M6=$AM$7),$AM$10,"")))))))</f>
        <v>#N/A</v>
      </c>
      <c r="O7">
        <f>'FEUILLE DE RESULTATS'!D21</f>
        <v>0</v>
      </c>
      <c r="P7" t="str">
        <f>'FEUILLE DE RESULTATS'!E21</f>
        <v/>
      </c>
      <c r="Q7">
        <f>'FEUILLE DE RESULTATS'!F21</f>
        <v>0</v>
      </c>
      <c r="R7" s="26">
        <f>O7</f>
        <v>0</v>
      </c>
      <c r="S7">
        <f>R6</f>
        <v>0</v>
      </c>
      <c r="T7" s="26">
        <f>IF(O7=0,0,IF(O7&gt;O6,3,1))</f>
        <v>0</v>
      </c>
      <c r="U7" s="26">
        <f>IF(P7=0,0,IF(P7&gt;P6,3,1))</f>
        <v>1</v>
      </c>
      <c r="V7" s="26">
        <f>IF(Q7=0,0,IF(Q7&gt;Q6,3,1))</f>
        <v>0</v>
      </c>
      <c r="W7">
        <f>IF(AND(T7=0,T8=0),0,IF(T7+U7=6,3,IF(T7+U7=2,0,IF(T7+U7+V7=7,2,1))))</f>
        <v>0</v>
      </c>
      <c r="Y7" s="42">
        <f>VLOOKUP($Y$6,$AJ$1:$AK$3,2,0)</f>
        <v>3</v>
      </c>
      <c r="Z7" s="8" t="e">
        <f>IF(Y7=0,"",IF(AND(Y7=2,Y6=$AK$7),$AK$9,IF(AND(Y7=2,Y6=$AL$7),$AL$9,IF(AND(Y7=2,Y6=$AM$7),$AM$9,IF(AND(Y7=3,Y6=$AK$7),$AK$10,IF(AND(Y7=3,Y6=$AL$7),$AL$10,IF(AND(Y7=3,Y6=$AM$7),$AM$10,"")))))))</f>
        <v>#N/A</v>
      </c>
      <c r="AA7">
        <f>'FEUILLE DE RESULTATS'!D34</f>
        <v>0</v>
      </c>
      <c r="AB7" t="str">
        <f>'FEUILLE DE RESULTATS'!E34</f>
        <v/>
      </c>
      <c r="AC7">
        <f>'FEUILLE DE RESULTATS'!F34</f>
        <v>0</v>
      </c>
      <c r="AD7" s="26">
        <f>AA7</f>
        <v>0</v>
      </c>
      <c r="AE7">
        <f>AD6</f>
        <v>0</v>
      </c>
      <c r="AF7" s="26">
        <f>IF(AA7=0,0,IF(AA7&gt;AA6,3,1))</f>
        <v>0</v>
      </c>
      <c r="AG7" s="26">
        <f>IF(AB7=0,0,IF(AB7&gt;AB6,3,1))</f>
        <v>1</v>
      </c>
      <c r="AH7" s="26">
        <f>IF(AC7=0,0,IF(AC7&gt;AC6,3,1))</f>
        <v>0</v>
      </c>
      <c r="AI7">
        <f>IF(AND(AF7=0,AF8=0),0,IF(AF7+AG7=6,3,IF(AF7+AG7=2,0,IF(AF7+AG7+AH7=7,2,1))))</f>
        <v>0</v>
      </c>
      <c r="AK7" s="29" t="str">
        <f>'Calc Inscription Joueurs'!H3</f>
        <v>POULE 1</v>
      </c>
      <c r="AL7" s="29" t="str">
        <f>'Calc Inscription Joueurs'!I3</f>
        <v>POULE 2</v>
      </c>
      <c r="AM7" s="29" t="str">
        <f>'Calc Inscription Joueurs'!U3</f>
        <v>POULE 3</v>
      </c>
      <c r="AN7" t="s">
        <v>117</v>
      </c>
      <c r="AO7" t="str">
        <f>LISTE!F3</f>
        <v>1 et 2</v>
      </c>
      <c r="AP7">
        <v>7</v>
      </c>
    </row>
    <row r="8" spans="2:42" x14ac:dyDescent="0.25">
      <c r="H8" s="26"/>
      <c r="I8" s="26"/>
      <c r="J8" s="26"/>
      <c r="K8" s="26"/>
      <c r="S8" s="26"/>
      <c r="T8" s="26"/>
      <c r="U8" s="26"/>
      <c r="V8" s="26"/>
      <c r="AE8" s="26"/>
      <c r="AF8" s="26"/>
      <c r="AG8" s="26"/>
      <c r="AH8" s="26"/>
      <c r="AI8" s="26"/>
      <c r="AK8" s="1" t="e">
        <f>'Calc Inscription Joueurs'!H4</f>
        <v>#N/A</v>
      </c>
      <c r="AL8" s="1" t="e">
        <f>'Calc Inscription Joueurs'!I4</f>
        <v>#N/A</v>
      </c>
      <c r="AM8" s="1" t="e">
        <f>'Calc Inscription Joueurs'!U4</f>
        <v>#N/A</v>
      </c>
      <c r="AN8" t="s">
        <v>117</v>
      </c>
      <c r="AO8" t="str">
        <f>LISTE!F4</f>
        <v>2 et 3</v>
      </c>
      <c r="AP8">
        <v>8</v>
      </c>
    </row>
    <row r="9" spans="2:42" x14ac:dyDescent="0.25">
      <c r="C9" t="e">
        <f>IF(L7&gt;L6,C7,C6)</f>
        <v>#N/A</v>
      </c>
      <c r="H9" s="26"/>
      <c r="I9" s="26"/>
      <c r="J9" s="26"/>
      <c r="K9" s="26"/>
      <c r="N9" t="e">
        <f>IF(W7&gt;W6,N7,N6)</f>
        <v>#N/A</v>
      </c>
      <c r="S9" s="26"/>
      <c r="T9" s="26"/>
      <c r="U9" s="26"/>
      <c r="V9" s="26"/>
      <c r="Z9" t="e">
        <f>IF(AI7&gt;AI6,Z7,Z6)</f>
        <v>#N/A</v>
      </c>
      <c r="AE9" s="26"/>
      <c r="AF9" s="26"/>
      <c r="AG9" s="26"/>
      <c r="AH9" s="26"/>
      <c r="AI9" s="26"/>
      <c r="AK9" s="1" t="e">
        <f>'Calc Inscription Joueurs'!H5</f>
        <v>#N/A</v>
      </c>
      <c r="AL9" s="1" t="e">
        <f>'Calc Inscription Joueurs'!I5</f>
        <v>#N/A</v>
      </c>
      <c r="AM9" s="1" t="e">
        <f>'Calc Inscription Joueurs'!U5</f>
        <v>#N/A</v>
      </c>
      <c r="AN9" t="s">
        <v>117</v>
      </c>
      <c r="AO9" t="str">
        <f>LISTE!F5</f>
        <v>3 et 1</v>
      </c>
      <c r="AP9">
        <v>9</v>
      </c>
    </row>
    <row r="10" spans="2:42" x14ac:dyDescent="0.25">
      <c r="C10" t="e">
        <f>IF(L7&gt;L6,C6,C7)</f>
        <v>#N/A</v>
      </c>
      <c r="H10" s="26"/>
      <c r="I10" s="26"/>
      <c r="J10" s="26"/>
      <c r="K10" s="26"/>
      <c r="N10" t="e">
        <f>IF(W7&gt;W6,N6,N7)</f>
        <v>#N/A</v>
      </c>
      <c r="S10" s="26"/>
      <c r="T10" s="26"/>
      <c r="U10" s="26"/>
      <c r="V10" s="26"/>
      <c r="Z10" t="e">
        <f>IF(AI7&gt;AI6,Z6,Z7)</f>
        <v>#N/A</v>
      </c>
      <c r="AE10" s="26"/>
      <c r="AF10" s="26"/>
      <c r="AG10" s="26"/>
      <c r="AH10" s="26"/>
      <c r="AI10" s="26"/>
      <c r="AK10" s="1" t="e">
        <f>'Calc Inscription Joueurs'!H6</f>
        <v>#N/A</v>
      </c>
      <c r="AL10" s="1" t="e">
        <f>'Calc Inscription Joueurs'!I6</f>
        <v>#N/A</v>
      </c>
      <c r="AM10" s="1" t="e">
        <f>'Calc Inscription Joueurs'!U6</f>
        <v>#N/A</v>
      </c>
      <c r="AN10" t="s">
        <v>118</v>
      </c>
      <c r="AO10" t="s">
        <v>106</v>
      </c>
      <c r="AP10">
        <v>10</v>
      </c>
    </row>
    <row r="11" spans="2:42" x14ac:dyDescent="0.25">
      <c r="H11" s="26"/>
      <c r="I11" s="26"/>
      <c r="J11" s="26"/>
      <c r="K11" s="26"/>
      <c r="S11" s="26"/>
      <c r="T11" s="26"/>
      <c r="U11" s="26"/>
      <c r="V11" s="26"/>
      <c r="AE11" s="26"/>
      <c r="AF11" s="26"/>
      <c r="AG11" s="26"/>
      <c r="AH11" s="26"/>
      <c r="AI11" s="26"/>
      <c r="AN11" t="s">
        <v>118</v>
      </c>
      <c r="AO11" t="s">
        <v>104</v>
      </c>
      <c r="AP11">
        <v>11</v>
      </c>
    </row>
    <row r="12" spans="2:42" x14ac:dyDescent="0.25">
      <c r="H12" s="26"/>
      <c r="I12" s="26"/>
      <c r="J12" s="26"/>
      <c r="K12" s="26"/>
      <c r="S12" s="26"/>
      <c r="T12" s="26"/>
      <c r="U12" s="26"/>
      <c r="V12" s="26"/>
      <c r="AE12" s="26"/>
      <c r="AF12" s="26"/>
      <c r="AG12" s="26"/>
      <c r="AH12" s="26"/>
      <c r="AI12" s="26"/>
      <c r="AK12" t="e">
        <f>IF(AK6=3,AK8,"")</f>
        <v>#N/A</v>
      </c>
      <c r="AL12" t="e">
        <f>IF(AL6=3,AL8,"")</f>
        <v>#N/A</v>
      </c>
      <c r="AM12" t="e">
        <f>IF(AM6=3,AM8,"")</f>
        <v>#N/A</v>
      </c>
      <c r="AN12" t="s">
        <v>118</v>
      </c>
      <c r="AO12" t="s">
        <v>105</v>
      </c>
      <c r="AP12">
        <v>12</v>
      </c>
    </row>
    <row r="13" spans="2:42" ht="15.75" thickBot="1" x14ac:dyDescent="0.3">
      <c r="C13" t="str">
        <f>IF(C14="","",$C$4)</f>
        <v>2 Sets Gagnants 60 pts</v>
      </c>
      <c r="H13" s="26"/>
      <c r="I13" s="26"/>
      <c r="J13" s="26"/>
      <c r="K13" s="26"/>
      <c r="N13" t="str">
        <f>IF(N14="","",$C$4)</f>
        <v>2 Sets Gagnants 60 pts</v>
      </c>
      <c r="S13" s="26"/>
      <c r="T13" s="26"/>
      <c r="U13" s="26"/>
      <c r="V13" s="26"/>
      <c r="Z13" t="str">
        <f>IF(Z14="","",$C$4)</f>
        <v>2 Sets Gagnants 60 pts</v>
      </c>
      <c r="AE13" s="26"/>
      <c r="AF13" s="26"/>
      <c r="AG13" s="26"/>
      <c r="AH13" s="26"/>
      <c r="AI13" s="26"/>
      <c r="AK13" t="e">
        <f>IF(AK7=B6,C9,IF(AK7=M6,N9,Z9))</f>
        <v>#N/A</v>
      </c>
      <c r="AL13" t="e">
        <f>IF(AL7=B6,C9,IF(AL7=M6,N9,Z9))</f>
        <v>#N/A</v>
      </c>
      <c r="AM13" t="e">
        <f>IF(AM7=B6,C9,IF(AM7=M6,N9,Z9))</f>
        <v>#N/A</v>
      </c>
      <c r="AN13" t="s">
        <v>118</v>
      </c>
      <c r="AO13" t="s">
        <v>119</v>
      </c>
      <c r="AP13">
        <v>13</v>
      </c>
    </row>
    <row r="14" spans="2:42" x14ac:dyDescent="0.25">
      <c r="B14" s="26" t="str">
        <f>B5</f>
        <v>Aucune</v>
      </c>
      <c r="C14" s="4" t="s">
        <v>116</v>
      </c>
      <c r="D14" s="5" t="s">
        <v>98</v>
      </c>
      <c r="E14" s="5" t="s">
        <v>99</v>
      </c>
      <c r="F14" s="5" t="s">
        <v>100</v>
      </c>
      <c r="G14" s="6" t="s">
        <v>101</v>
      </c>
      <c r="H14" s="26"/>
      <c r="I14" t="s">
        <v>336</v>
      </c>
      <c r="J14" t="s">
        <v>337</v>
      </c>
      <c r="K14" t="s">
        <v>338</v>
      </c>
      <c r="M14" s="26" t="str">
        <f>M5</f>
        <v>Aucune</v>
      </c>
      <c r="N14" s="4" t="str">
        <f>IF(B3=3,"","Match 2")</f>
        <v>Match 2</v>
      </c>
      <c r="O14" s="5" t="s">
        <v>98</v>
      </c>
      <c r="P14" s="5" t="s">
        <v>99</v>
      </c>
      <c r="Q14" s="5" t="s">
        <v>100</v>
      </c>
      <c r="R14" s="6" t="s">
        <v>101</v>
      </c>
      <c r="S14" s="26"/>
      <c r="T14" t="s">
        <v>336</v>
      </c>
      <c r="U14" t="s">
        <v>337</v>
      </c>
      <c r="V14" t="s">
        <v>338</v>
      </c>
      <c r="Y14" s="26" t="str">
        <f>Y5</f>
        <v>Aucune</v>
      </c>
      <c r="Z14" s="4" t="str">
        <f>IF($B$3&lt;7,"","Match 2")</f>
        <v>Match 2</v>
      </c>
      <c r="AA14" s="5" t="str">
        <f>IF(Z14="","","Pts")</f>
        <v>Pts</v>
      </c>
      <c r="AB14" s="5" t="str">
        <f>IF(Z14="","","Rep")</f>
        <v>Rep</v>
      </c>
      <c r="AC14" s="5" t="str">
        <f>IF(Z14="","","Sér")</f>
        <v>Sér</v>
      </c>
      <c r="AD14" s="6" t="str">
        <f>IF(Z14="","","Moy")</f>
        <v>Moy</v>
      </c>
      <c r="AE14" s="26"/>
      <c r="AF14" t="s">
        <v>336</v>
      </c>
      <c r="AG14" t="s">
        <v>337</v>
      </c>
      <c r="AH14" t="s">
        <v>338</v>
      </c>
      <c r="AK14" t="e">
        <f>IF(AK7=B6,C10,IF(AK7=M6,N10,Z10))</f>
        <v>#N/A</v>
      </c>
      <c r="AL14" t="e">
        <f>IF(AL7=B6,C10,IF(AL7=M6,N10,Z10))</f>
        <v>#N/A</v>
      </c>
      <c r="AM14" t="e">
        <f>IF(AM7=B6,C10,IF(AM7=M6,N10,Z10))</f>
        <v>#N/A</v>
      </c>
      <c r="AN14" s="1">
        <v>3</v>
      </c>
      <c r="AO14" t="s">
        <v>106</v>
      </c>
      <c r="AP14">
        <v>14</v>
      </c>
    </row>
    <row r="15" spans="2:42" x14ac:dyDescent="0.25">
      <c r="B15" t="str">
        <f>B6</f>
        <v>POULE 1</v>
      </c>
      <c r="C15" s="7" t="e">
        <f>IF(OR(B3=6,B3=9),AK17,IF(B3=3,AK8,IF(B3=2,AK8,IF(B$15=$AK$21,$AK$22,IF(B$15=$AL$21,$AL$22,$AM$22)))))</f>
        <v>#N/A</v>
      </c>
      <c r="D15">
        <f>'FEUILLE DE RESULTATS'!D11</f>
        <v>0</v>
      </c>
      <c r="E15" t="str">
        <f>'FEUILLE DE RESULTATS'!E11</f>
        <v/>
      </c>
      <c r="F15">
        <f>'FEUILLE DE RESULTATS'!F11</f>
        <v>0</v>
      </c>
      <c r="G15" s="26">
        <f>D15</f>
        <v>0</v>
      </c>
      <c r="H15">
        <f>G16</f>
        <v>0</v>
      </c>
      <c r="I15" s="26">
        <f>IF(D15=0,0,IF(D15&gt;D16,3,1))</f>
        <v>0</v>
      </c>
      <c r="J15" s="26">
        <f>IF(E15=0,0,IF(E15&gt;E16,3,1))</f>
        <v>1</v>
      </c>
      <c r="K15" s="26">
        <f>IF(F15=0,0,IF(F15&gt;F16,3,1))</f>
        <v>0</v>
      </c>
      <c r="L15">
        <f>IF(AND(I15=0,I16=0),0,IF(I15+J15=6,3,IF(I15+J15=2,0,IF(I15+J15+K15=7,2,1))))</f>
        <v>0</v>
      </c>
      <c r="M15" t="str">
        <f>M6</f>
        <v>POULE 2</v>
      </c>
      <c r="N15" s="7" t="e">
        <f>IF(OR(B3=6,B3=9),AL17,IF(M$15=$AK$21,$AK$22,IF(M$15=$AL$21,$AL$22,$AM$22)))</f>
        <v>#N/A</v>
      </c>
      <c r="O15">
        <f>'FEUILLE DE RESULTATS'!D24</f>
        <v>0</v>
      </c>
      <c r="P15" t="str">
        <f>'FEUILLE DE RESULTATS'!E24</f>
        <v/>
      </c>
      <c r="Q15">
        <f>'FEUILLE DE RESULTATS'!F24</f>
        <v>0</v>
      </c>
      <c r="R15" s="26">
        <f>O15</f>
        <v>0</v>
      </c>
      <c r="S15">
        <f>R16</f>
        <v>0</v>
      </c>
      <c r="T15" s="26">
        <f>IF(O15=0,0,IF(O15&gt;O16,3,1))</f>
        <v>0</v>
      </c>
      <c r="U15" s="26">
        <f>IF(P15=0,0,IF(P15&gt;P16,3,1))</f>
        <v>1</v>
      </c>
      <c r="V15" s="26">
        <f>IF(Q15=0,0,IF(Q15&gt;Q16,3,1))</f>
        <v>0</v>
      </c>
      <c r="W15">
        <f>IF(AND(T15=0,T16=0),0,IF(T15+U15=6,3,IF(T15+U15=2,0,IF(T15+U15+V15=7,2,1))))</f>
        <v>0</v>
      </c>
      <c r="Y15" t="str">
        <f>Y6</f>
        <v>POULE 3</v>
      </c>
      <c r="Z15" s="7" t="e">
        <f>IF(B3=9,AM17,IF(Y$15=$AK$21,$AK$22,IF(Y$15=$AL$21,$AL$22,$AM$22)))</f>
        <v>#N/A</v>
      </c>
      <c r="AA15">
        <f>'FEUILLE DE RESULTATS'!D37</f>
        <v>0</v>
      </c>
      <c r="AB15" t="str">
        <f>'FEUILLE DE RESULTATS'!E37</f>
        <v/>
      </c>
      <c r="AC15">
        <f>'FEUILLE DE RESULTATS'!F37</f>
        <v>0</v>
      </c>
      <c r="AD15" s="26">
        <f>AA15</f>
        <v>0</v>
      </c>
      <c r="AE15">
        <f>AD16</f>
        <v>0</v>
      </c>
      <c r="AF15" s="26">
        <f>IF(AA15=0,0,IF(AA15&gt;AA16,3,1))</f>
        <v>0</v>
      </c>
      <c r="AG15" s="26">
        <f>IF(AB15=0,0,IF(AB15&gt;AB16,3,1))</f>
        <v>1</v>
      </c>
      <c r="AH15" s="26">
        <f>IF(AC15=0,0,IF(AC15&gt;AC16,3,1))</f>
        <v>0</v>
      </c>
      <c r="AI15">
        <f>IF(AND(AF15=0,AF16=0),0,IF(AF15+AG15=6,3,IF(AF15+AG15=2,0,IF(AF15+AG15+AH15=7,2,1))))</f>
        <v>0</v>
      </c>
      <c r="AN15" s="1">
        <v>2</v>
      </c>
      <c r="AO15" t="s">
        <v>106</v>
      </c>
      <c r="AP15">
        <v>15</v>
      </c>
    </row>
    <row r="16" spans="2:42" ht="15.75" thickBot="1" x14ac:dyDescent="0.3">
      <c r="B16" s="28">
        <f>B7</f>
        <v>3</v>
      </c>
      <c r="C16" s="8" t="e">
        <f>IF(OR(B3=6,B3=9),AK19,IF(B3=3,C10,IF(B3=2,C7,IF(B$15=$AK$21,$AK$23,IF(B$15=$AL$21,$AL$23,$AM$23)))))</f>
        <v>#N/A</v>
      </c>
      <c r="D16" s="9">
        <f>'FEUILLE DE RESULTATS'!D12</f>
        <v>0</v>
      </c>
      <c r="E16" t="str">
        <f>'FEUILLE DE RESULTATS'!E12</f>
        <v/>
      </c>
      <c r="F16" s="9">
        <f>'FEUILLE DE RESULTATS'!F12</f>
        <v>0</v>
      </c>
      <c r="G16" s="26">
        <f>D16</f>
        <v>0</v>
      </c>
      <c r="H16">
        <f>G15</f>
        <v>0</v>
      </c>
      <c r="I16" s="26">
        <f>IF(D16=0,0,IF(D16&gt;D15,3,1))</f>
        <v>0</v>
      </c>
      <c r="J16" s="26">
        <f>IF(E16=0,0,IF(E16&gt;E15,3,1))</f>
        <v>1</v>
      </c>
      <c r="K16" s="26">
        <f>IF(F16=0,0,IF(F16&gt;F15,3,1))</f>
        <v>0</v>
      </c>
      <c r="L16">
        <f>IF(AND(I16=0,I17=0),0,IF(I16+J16=6,3,IF(I16+J16=2,0,IF(I16+J16+K16=7,2,1))))</f>
        <v>0</v>
      </c>
      <c r="M16" s="28">
        <f>M7</f>
        <v>3</v>
      </c>
      <c r="N16" s="8" t="e">
        <f>IF(OR(B3=6,B3=9),AL19,IF(M$15=$AK$21,$AK$23,IF(M$15=$AL$21,$AL$23,$AM$23)))</f>
        <v>#N/A</v>
      </c>
      <c r="O16">
        <f>'FEUILLE DE RESULTATS'!D25</f>
        <v>0</v>
      </c>
      <c r="P16" t="str">
        <f>'FEUILLE DE RESULTATS'!E25</f>
        <v/>
      </c>
      <c r="Q16">
        <f>'FEUILLE DE RESULTATS'!F25</f>
        <v>0</v>
      </c>
      <c r="R16" s="26">
        <f>O16</f>
        <v>0</v>
      </c>
      <c r="S16">
        <f>R15</f>
        <v>0</v>
      </c>
      <c r="T16" s="26">
        <f>IF(O16=0,0,IF(O16&gt;O15,3,1))</f>
        <v>0</v>
      </c>
      <c r="U16" s="26">
        <f>IF(P16=0,0,IF(P16&gt;P15,3,1))</f>
        <v>1</v>
      </c>
      <c r="V16" s="26">
        <f>IF(Q16=0,0,IF(Q16&gt;Q15,3,1))</f>
        <v>0</v>
      </c>
      <c r="W16">
        <f>IF(AND(T16=0,T17=0),0,IF(T16+U16=6,3,IF(T16+U16=2,0,IF(T16+U16+V16=7,2,1))))</f>
        <v>0</v>
      </c>
      <c r="Y16" s="28">
        <f>Y7</f>
        <v>3</v>
      </c>
      <c r="Z16" s="8" t="e">
        <f>IF(B3=9,AM19,IF(Z14="","",IF(Y$15=$AK$21,$AK$23,IF(Y$15=$AL$21,$AL$23,$AM$23))))</f>
        <v>#N/A</v>
      </c>
      <c r="AA16">
        <f>'FEUILLE DE RESULTATS'!D38</f>
        <v>0</v>
      </c>
      <c r="AB16" t="str">
        <f>'FEUILLE DE RESULTATS'!E38</f>
        <v/>
      </c>
      <c r="AC16">
        <f>'FEUILLE DE RESULTATS'!F38</f>
        <v>0</v>
      </c>
      <c r="AD16" s="26">
        <f>AA16</f>
        <v>0</v>
      </c>
      <c r="AE16">
        <f>AD15</f>
        <v>0</v>
      </c>
      <c r="AF16" s="26">
        <f>IF(AA16=0,0,IF(AA16&gt;AA15,3,1))</f>
        <v>0</v>
      </c>
      <c r="AG16" s="26">
        <f>IF(AB16=0,0,IF(AB16&gt;AB15,3,1))</f>
        <v>1</v>
      </c>
      <c r="AH16" s="26">
        <f>IF(AC16=0,0,IF(AC16&gt;AC15,3,1))</f>
        <v>0</v>
      </c>
      <c r="AI16">
        <f>IF(AND(AF16=0,AF17=0),0,IF(AF16+AG16=6,3,IF(AF16+AG16=2,0,IF(AF16+AG16+AH16=7,2,1))))</f>
        <v>0</v>
      </c>
      <c r="AO16">
        <f>AK25+AL25+AM25</f>
        <v>9</v>
      </c>
    </row>
    <row r="17" spans="2:47" x14ac:dyDescent="0.25">
      <c r="H17" s="26"/>
      <c r="I17" s="26"/>
      <c r="J17" s="26"/>
      <c r="K17" s="26"/>
      <c r="S17" s="26"/>
      <c r="T17" s="26"/>
      <c r="U17" s="26"/>
      <c r="V17" s="26"/>
      <c r="AE17" s="26"/>
      <c r="AF17" s="26"/>
      <c r="AG17" s="26"/>
      <c r="AH17" s="26"/>
      <c r="AI17" s="26"/>
      <c r="AK17" t="e">
        <f>IF(AK12="",AK13,AK12)</f>
        <v>#N/A</v>
      </c>
      <c r="AL17" t="e">
        <f>IF(AL12="",AL13,AL12)</f>
        <v>#N/A</v>
      </c>
      <c r="AM17" t="e">
        <f>IF(AM12="",AM13,AM12)</f>
        <v>#N/A</v>
      </c>
    </row>
    <row r="18" spans="2:47" x14ac:dyDescent="0.25">
      <c r="C18" t="e">
        <f>IF(L16&gt;L15,C16,C15)</f>
        <v>#N/A</v>
      </c>
      <c r="H18" s="26"/>
      <c r="I18" s="26"/>
      <c r="J18" s="26"/>
      <c r="K18" s="26"/>
      <c r="N18" t="e">
        <f>IF(W16&gt;W15,N16,N15)</f>
        <v>#N/A</v>
      </c>
      <c r="S18" s="26"/>
      <c r="T18" s="26"/>
      <c r="U18" s="26"/>
      <c r="V18" s="26"/>
      <c r="Z18" t="e">
        <f>IF(AI16&gt;AI15,Z16,Z15)</f>
        <v>#N/A</v>
      </c>
      <c r="AE18" s="26"/>
      <c r="AF18" s="26"/>
      <c r="AG18" s="26"/>
      <c r="AH18" s="26"/>
      <c r="AI18" s="26"/>
      <c r="AK18" t="e">
        <f>IF(AK12="",AK14,AK13)</f>
        <v>#N/A</v>
      </c>
      <c r="AL18" t="e">
        <f>IF(AL12="",AL14,AL13)</f>
        <v>#N/A</v>
      </c>
      <c r="AM18" t="e">
        <f>IF(AM12="",AM14,AM13)</f>
        <v>#N/A</v>
      </c>
    </row>
    <row r="19" spans="2:47" x14ac:dyDescent="0.25">
      <c r="C19" t="e">
        <f>IF(L16&gt;L15,C15,C16)</f>
        <v>#N/A</v>
      </c>
      <c r="H19" s="26"/>
      <c r="I19" s="26"/>
      <c r="J19" s="26"/>
      <c r="K19" s="26"/>
      <c r="N19" t="e">
        <f>IF(W16&gt;W15,N15,N16)</f>
        <v>#N/A</v>
      </c>
      <c r="S19" s="26"/>
      <c r="T19" s="26"/>
      <c r="U19" s="26"/>
      <c r="V19" s="26"/>
      <c r="Z19" t="e">
        <f>IF(AI16&gt;AI15,Z15,Z16)</f>
        <v>#N/A</v>
      </c>
      <c r="AE19" s="26"/>
      <c r="AF19" s="26"/>
      <c r="AG19" s="26"/>
      <c r="AH19" s="26"/>
      <c r="AI19" s="26"/>
      <c r="AK19" t="e">
        <f>IF(AK12="",AK12,AK14)</f>
        <v>#N/A</v>
      </c>
      <c r="AL19" t="e">
        <f>IF(AL12="",AL12,AL14)</f>
        <v>#N/A</v>
      </c>
      <c r="AM19" t="e">
        <f>IF(AM12="",AM12,AM14)</f>
        <v>#N/A</v>
      </c>
      <c r="AO19" t="s">
        <v>117</v>
      </c>
    </row>
    <row r="20" spans="2:47" x14ac:dyDescent="0.25">
      <c r="H20" s="26"/>
      <c r="I20" s="26"/>
      <c r="J20" s="26"/>
      <c r="K20" s="26"/>
      <c r="S20" s="26"/>
      <c r="T20" s="26"/>
      <c r="U20" s="26"/>
      <c r="V20" s="26"/>
      <c r="AE20" s="26"/>
      <c r="AF20" s="26"/>
      <c r="AG20" s="26"/>
      <c r="AH20" s="26"/>
      <c r="AI20" s="26"/>
      <c r="AO20" t="s">
        <v>118</v>
      </c>
    </row>
    <row r="21" spans="2:47" x14ac:dyDescent="0.25">
      <c r="H21" s="26"/>
      <c r="I21" s="26"/>
      <c r="J21" s="26"/>
      <c r="K21" s="26"/>
      <c r="S21" s="26"/>
      <c r="T21" s="26"/>
      <c r="U21" s="26"/>
      <c r="V21" s="26"/>
      <c r="AE21" s="26"/>
      <c r="AF21" s="26"/>
      <c r="AG21" s="26"/>
      <c r="AH21" s="26"/>
      <c r="AI21" s="26"/>
      <c r="AK21" s="29" t="str">
        <f>AK7</f>
        <v>POULE 1</v>
      </c>
      <c r="AL21" s="29" t="str">
        <f>AL7</f>
        <v>POULE 2</v>
      </c>
      <c r="AM21" s="29" t="str">
        <f>AM7</f>
        <v>POULE 3</v>
      </c>
      <c r="AN21" t="str">
        <f>AN25</f>
        <v>3 et 3</v>
      </c>
      <c r="AO21" t="str">
        <f>AO25</f>
        <v>Aucune</v>
      </c>
    </row>
    <row r="22" spans="2:47" ht="15.75" thickBot="1" x14ac:dyDescent="0.3">
      <c r="C22" t="str">
        <f>IF(C23="","",$C$4)</f>
        <v>2 Sets Gagnants 60 pts</v>
      </c>
      <c r="H22" s="26"/>
      <c r="I22" s="26"/>
      <c r="J22" s="26"/>
      <c r="K22" s="26"/>
      <c r="N22" t="str">
        <f>IF(N23="","",$C$4)</f>
        <v>2 Sets Gagnants 60 pts</v>
      </c>
      <c r="S22" s="26"/>
      <c r="T22" s="26"/>
      <c r="U22" s="26"/>
      <c r="V22" s="26"/>
      <c r="Z22" t="str">
        <f>IF(Z23="","",$C$4)</f>
        <v>2 Sets Gagnants 60 pts</v>
      </c>
      <c r="AE22" s="26"/>
      <c r="AF22" s="26"/>
      <c r="AG22" s="26"/>
      <c r="AH22" s="26"/>
      <c r="AI22" s="26"/>
      <c r="AK22" t="e">
        <f>IF(AND($AN$21=$AN$6,$AO$21=$AO$6),"",IF(AND($AN$21=$AN$7,$AO$21=$AO$7),AK8,IF(AND($AN$21=$AN$8,$AO$21=$AO$8),AK8,IF(AND($AN$21=$AN$9,$AO$21=$AO$9),AK17,IF(AND($AN$21=$AN$10,$AO$21=$AO$10),"",IF(AND($AN$21=$AN$11,$AO$21=$AO$11),AK17,IF(AND($AN$21=$AN$12,$AO$21=$AO$12),AK8,IF(AND($AN$21=$AN$13,$AO$21=$AO$13),AK17,IF(AO16=AN14,AK17,IF(AO16=AN15,AK17,IF(AO16=9,AK8,"")))))))))))</f>
        <v>#N/A</v>
      </c>
      <c r="AL22" t="e">
        <f>IF(AND($AN$21=$AN$6,$AO$21=$AO$6),"",IF(AND($AN$21=$AN$7,$AO$21=$AO$7),AL17,IF(AND($AN$21=$AN$8,$AO$21=$AO$8),AL8,IF(AND($AN$21=$AN$9,$AO$21=$AO$9),AL8,IF(AND($AN$21=$AN$10,$AO$21=$AO$10),"",IF(AND($AN$21=$AN$11,$AO$21=$AO$11),AL17,IF(AND($AN$21=$AN$12,$AO$21=$AO$12),AL17,IF(AND($AN$21=$AN$13,$AO$21=$AO$13),AL8,IF(AO16=9,AL8,"")))))))))</f>
        <v>#N/A</v>
      </c>
      <c r="AM22" t="e">
        <f>IF(AND($AN$21=$AN$6,$AO$21=$AO$6),"",IF(AND($AN$21=$AN$7,$AO$21=$AO$7),AM17,IF(AND($AN$21=$AN$8,$AO$21=$AO$8),AM17,IF(AND($AN$21=$AN$9,$AO$21=$AO$9),AM8,IF(AND($AN$21=$AN$10,$AO$21=$AO$10),"",IF(AND($AN$21=$AN$11,$AO$21=$AO$11),AM17,IF(AND($AN$21=$AN$12,$AO$21=$AO$12),AM17,IF(AND($AN$21=$AN$13,$AO$21=$AO$13),AM17,IF(AO16=9,AM8,"")))))))))</f>
        <v>#N/A</v>
      </c>
    </row>
    <row r="23" spans="2:47" x14ac:dyDescent="0.25">
      <c r="B23" s="26" t="str">
        <f>B14</f>
        <v>Aucune</v>
      </c>
      <c r="C23" s="4" t="str">
        <f>IF(B25=3,"Match 3","")</f>
        <v>Match 3</v>
      </c>
      <c r="D23" s="5" t="str">
        <f>IF(C23="","","Pts")</f>
        <v>Pts</v>
      </c>
      <c r="E23" s="5" t="str">
        <f>IF(C23="","","Rep")</f>
        <v>Rep</v>
      </c>
      <c r="F23" s="5" t="str">
        <f>IF(C23="","","Sér")</f>
        <v>Sér</v>
      </c>
      <c r="G23" s="6" t="str">
        <f>IF(C23="","","Moy")</f>
        <v>Moy</v>
      </c>
      <c r="H23" s="26"/>
      <c r="I23" t="s">
        <v>336</v>
      </c>
      <c r="J23" t="s">
        <v>337</v>
      </c>
      <c r="K23" t="s">
        <v>338</v>
      </c>
      <c r="M23" s="26" t="str">
        <f>M14</f>
        <v>Aucune</v>
      </c>
      <c r="N23" s="4" t="str">
        <f>IF(M25=3,"Match 3","")</f>
        <v>Match 3</v>
      </c>
      <c r="O23" s="5" t="str">
        <f>IF(N23="","","Pts")</f>
        <v>Pts</v>
      </c>
      <c r="P23" s="5" t="str">
        <f>IF(N23="","","Rep")</f>
        <v>Rep</v>
      </c>
      <c r="Q23" s="5" t="str">
        <f>IF(N23="","","Sér")</f>
        <v>Sér</v>
      </c>
      <c r="R23" s="6" t="str">
        <f>IF(N23="","","Moy")</f>
        <v>Moy</v>
      </c>
      <c r="S23" s="26"/>
      <c r="T23" t="s">
        <v>336</v>
      </c>
      <c r="U23" t="s">
        <v>337</v>
      </c>
      <c r="V23" t="s">
        <v>338</v>
      </c>
      <c r="Y23" s="26" t="str">
        <f>Y14</f>
        <v>Aucune</v>
      </c>
      <c r="Z23" s="4" t="str">
        <f>IF(Y25=3,"Match 3","")</f>
        <v>Match 3</v>
      </c>
      <c r="AA23" s="5" t="str">
        <f>IF(Z23="","","Pts")</f>
        <v>Pts</v>
      </c>
      <c r="AB23" s="5" t="str">
        <f>IF(Z23="","","Rep")</f>
        <v>Rep</v>
      </c>
      <c r="AC23" s="5" t="str">
        <f>IF(Z23="","","Sér")</f>
        <v>Sér</v>
      </c>
      <c r="AD23" s="6" t="str">
        <f>IF(Z23="","","Moy")</f>
        <v>Moy</v>
      </c>
      <c r="AE23" s="26"/>
      <c r="AF23" t="s">
        <v>336</v>
      </c>
      <c r="AG23" t="s">
        <v>337</v>
      </c>
      <c r="AH23" t="s">
        <v>338</v>
      </c>
      <c r="AK23" t="e">
        <f>IF(AND($AN$21=$AN$6,$AO$21=$AO$6),"",IF(AND($AN$21=$AN$7,$AO$21=$AO$7),AK19,IF(AND($AN$21=$AN$8,$AO$21=$AO$8),AK19,IF(AND($AN$21=$AN$9,$AO$21=$AO$9),AM18,IF(AND($AN$21=$AN$10,$AO$21=$AO$10),"",IF(AND($AN$21=$AN$11,$AO$21=$AO$11),AL18,IF(AND($AN$21=$AN$12,$AO$21=$AO$12),AK19,IF(AND($AN$21=$AN$13,$AO$21=$AO$13),AM18,IF(AO16=AN14,AK14,IF(AO16=AN15,AK9,IF(AO16=9,AK10,"")))))))))))</f>
        <v>#N/A</v>
      </c>
      <c r="AL23" t="e">
        <f>IF(AND($AN$21=$AN$6,$AO$21=$AO$6),"",IF(AND($AN$21=$AN$7,$AO$21=$AO$7),AK18,IF(AND($AN$21=$AN$8,$AO$21=$AO$8),AL19,IF(AND($AN$21=$AN$9,$AO$21=$AO$9),AL19,IF(AND($AN$21=$AN$10,$AO$21=$AO$10),"",IF(AND($AN$21=$AN$11,$AO$21=$AO$11),AK18,IF(AND($AN$21=$AN$12,$AO$21=$AO$12),AM18,IF(AND($AN$21=$AN$13,$AO$21=$AO$13),AL19,IF(AO16=9,AL19,"")))))))))</f>
        <v>#N/A</v>
      </c>
      <c r="AM23" t="e">
        <f>IF(AND($AN$21=$AN$6,$AO$21=$AO$6),"",IF(AND($AN$21=$AN$7,$AO$21=$AO$7),AM19,IF(AND($AN$21=$AN$8,$AO$21=$AO$8),AL18,IF(AND($AN$21=$AN$9,$AO$21=$AO$9),AM19,IF(AND($AN$21=$AN$10,$AO$21=$AO$10),"",IF(AND($AN$21=$AN$11,$AO$21=$AO$11),AM19,IF(AND($AN$21=$AN$12,$AO$21=$AO$12),AL18,IF(AND($AN$21=$AN$13,$AO$21=$AO$13),AK18,IF(AO16=9,AM19,"")))))))))</f>
        <v>#N/A</v>
      </c>
    </row>
    <row r="24" spans="2:47" x14ac:dyDescent="0.25">
      <c r="B24" t="str">
        <f>B15</f>
        <v>POULE 1</v>
      </c>
      <c r="C24" s="10" t="e">
        <f>IF(OR(B3=3,B3=6,B3=9),AK8,IF(C23="","",HLOOKUP(B24,$AK$26:$AM$28,2,0)))</f>
        <v>#N/A</v>
      </c>
      <c r="D24">
        <f>'FEUILLE DE RESULTATS'!D15</f>
        <v>0</v>
      </c>
      <c r="E24" t="str">
        <f>'FEUILLE DE RESULTATS'!E15</f>
        <v/>
      </c>
      <c r="F24">
        <f>'FEUILLE DE RESULTATS'!F15</f>
        <v>0</v>
      </c>
      <c r="G24" s="26">
        <f>D24</f>
        <v>0</v>
      </c>
      <c r="H24">
        <f>G25</f>
        <v>0</v>
      </c>
      <c r="I24" s="26">
        <f>IF(D24=0,0,IF(D24&gt;D25,3,1))</f>
        <v>0</v>
      </c>
      <c r="J24" s="26">
        <f>IF(E24=0,0,IF(E24&gt;E25,3,1))</f>
        <v>1</v>
      </c>
      <c r="K24" s="26">
        <f>IF(F24=0,0,IF(F24&gt;F25,3,1))</f>
        <v>0</v>
      </c>
      <c r="L24">
        <f>IF(AND(I24=0,I25=0),0,IF(I24+J24=6,3,IF(I24+J24=2,0,IF(I24+J24+K24=7,2,1))))</f>
        <v>0</v>
      </c>
      <c r="M24" t="str">
        <f>M15</f>
        <v>POULE 2</v>
      </c>
      <c r="N24" s="10" t="e">
        <f>IF(OR(B3=6,B3=9),AL8,IF(N23="","",HLOOKUP(M24,$AK$26:$AM$28,2,0)))</f>
        <v>#N/A</v>
      </c>
      <c r="O24">
        <f>'FEUILLE DE RESULTATS'!D28</f>
        <v>0</v>
      </c>
      <c r="P24" t="str">
        <f>'FEUILLE DE RESULTATS'!E28</f>
        <v/>
      </c>
      <c r="Q24">
        <f>'FEUILLE DE RESULTATS'!F28</f>
        <v>0</v>
      </c>
      <c r="R24" s="26">
        <f>O24</f>
        <v>0</v>
      </c>
      <c r="S24">
        <f>R25</f>
        <v>0</v>
      </c>
      <c r="T24" s="26">
        <f>IF(O24=0,0,IF(O24&gt;O25,3,1))</f>
        <v>0</v>
      </c>
      <c r="U24" s="26">
        <f>IF(P24=0,0,IF(P24&gt;P25,3,1))</f>
        <v>1</v>
      </c>
      <c r="V24" s="26">
        <f>IF(Q24=0,0,IF(Q24&gt;Q25,3,1))</f>
        <v>0</v>
      </c>
      <c r="W24">
        <f>IF(AND(T24=0,T25=0),0,IF(T24+U24=6,3,IF(T24+U24=2,0,IF(T24+U24+V24=7,2,1))))</f>
        <v>0</v>
      </c>
      <c r="Y24" t="str">
        <f>Y15</f>
        <v>POULE 3</v>
      </c>
      <c r="Z24" s="7" t="e">
        <f>IF(B3=9,AM8,IF(Z23="","",HLOOKUP(Y24,$AK$26:$AM$28,2,0)))</f>
        <v>#N/A</v>
      </c>
      <c r="AA24">
        <f>'FEUILLE DE RESULTATS'!D41</f>
        <v>0</v>
      </c>
      <c r="AB24" t="str">
        <f>'FEUILLE DE RESULTATS'!E41</f>
        <v/>
      </c>
      <c r="AC24">
        <f>'FEUILLE DE RESULTATS'!F41</f>
        <v>0</v>
      </c>
      <c r="AD24" s="26">
        <f>AA24</f>
        <v>0</v>
      </c>
      <c r="AE24">
        <f>AD25</f>
        <v>0</v>
      </c>
      <c r="AF24" s="26">
        <f>IF(AA24=0,0,IF(AA24&gt;AA25,3,1))</f>
        <v>0</v>
      </c>
      <c r="AG24" s="26">
        <f>IF(AB24=0,0,IF(AB24&gt;AB25,3,1))</f>
        <v>1</v>
      </c>
      <c r="AH24" s="26">
        <f>IF(AC24=0,0,IF(AC24&gt;AC25,3,1))</f>
        <v>0</v>
      </c>
      <c r="AI24">
        <f>IF(AND(AF24=0,AF25=0),0,IF(AF24+AG24=6,3,IF(AF24+AG24=2,0,IF(AF24+AG24+AH24=7,2,1))))</f>
        <v>0</v>
      </c>
    </row>
    <row r="25" spans="2:47" ht="15.75" thickBot="1" x14ac:dyDescent="0.3">
      <c r="B25" s="28">
        <f>B16</f>
        <v>3</v>
      </c>
      <c r="C25" s="11" t="e">
        <f>IF(OR(B3=3,B3=6,B3=9),C9,IF(C23="","",HLOOKUP(B24,$AK$26:$AM$28,3,0)))</f>
        <v>#N/A</v>
      </c>
      <c r="D25">
        <f>'FEUILLE DE RESULTATS'!D16</f>
        <v>0</v>
      </c>
      <c r="E25" t="str">
        <f>'FEUILLE DE RESULTATS'!E16</f>
        <v/>
      </c>
      <c r="F25">
        <f>'FEUILLE DE RESULTATS'!F16</f>
        <v>0</v>
      </c>
      <c r="G25" s="26">
        <f>D25</f>
        <v>0</v>
      </c>
      <c r="H25">
        <f>G24</f>
        <v>0</v>
      </c>
      <c r="I25" s="26">
        <f>IF(D25=0,0,IF(D25&gt;D24,3,1))</f>
        <v>0</v>
      </c>
      <c r="J25" s="26">
        <f>IF(E25=0,0,IF(E25&gt;E24,3,1))</f>
        <v>1</v>
      </c>
      <c r="K25" s="26">
        <f>IF(F25=0,0,IF(F25&gt;F24,3,1))</f>
        <v>0</v>
      </c>
      <c r="L25">
        <f>IF(AND(I25=0,I26=0),0,IF(I25+J25=6,3,IF(I25+J25=2,0,IF(I25+J25+K25=7,2,1))))</f>
        <v>0</v>
      </c>
      <c r="M25" s="28">
        <f>M16</f>
        <v>3</v>
      </c>
      <c r="N25" s="11" t="e">
        <f>IF(OR(B3=6,B3=9),N9,IF(N23="","",HLOOKUP(M24,$AK$26:$AM$28,3,0)))</f>
        <v>#N/A</v>
      </c>
      <c r="O25">
        <f>'FEUILLE DE RESULTATS'!D29</f>
        <v>0</v>
      </c>
      <c r="P25" t="str">
        <f>'FEUILLE DE RESULTATS'!E29</f>
        <v/>
      </c>
      <c r="Q25">
        <f>'FEUILLE DE RESULTATS'!F29</f>
        <v>0</v>
      </c>
      <c r="R25" s="26">
        <f>O25</f>
        <v>0</v>
      </c>
      <c r="S25">
        <f>R24</f>
        <v>0</v>
      </c>
      <c r="T25" s="26">
        <f>IF(O25=0,0,IF(O25&gt;O24,3,1))</f>
        <v>0</v>
      </c>
      <c r="U25" s="26">
        <f>IF(P25=0,0,IF(P25&gt;P24,3,1))</f>
        <v>1</v>
      </c>
      <c r="V25" s="26">
        <f>IF(Q25=0,0,IF(Q25&gt;Q24,3,1))</f>
        <v>0</v>
      </c>
      <c r="W25">
        <f>IF(AND(T25=0,T26=0),0,IF(T25+U25=6,3,IF(T25+U25=2,0,IF(T25+U25+V25=7,2,1))))</f>
        <v>0</v>
      </c>
      <c r="Y25" s="28">
        <f>Y16</f>
        <v>3</v>
      </c>
      <c r="Z25" s="8" t="e">
        <f>IF(B3=9,Z9,IF(Z23="","",HLOOKUP(Y24,$AK$26:$AM$28,3,0)))</f>
        <v>#N/A</v>
      </c>
      <c r="AA25" s="9">
        <f>'FEUILLE DE RESULTATS'!D42</f>
        <v>0</v>
      </c>
      <c r="AB25" t="str">
        <f>'FEUILLE DE RESULTATS'!E42</f>
        <v/>
      </c>
      <c r="AC25" s="9">
        <f>'FEUILLE DE RESULTATS'!F42</f>
        <v>0</v>
      </c>
      <c r="AD25" s="26">
        <f>AA25</f>
        <v>0</v>
      </c>
      <c r="AE25">
        <f>AD24</f>
        <v>0</v>
      </c>
      <c r="AF25" s="26">
        <f>IF(AA25=0,0,IF(AA25&gt;AA24,3,1))</f>
        <v>0</v>
      </c>
      <c r="AG25" s="26">
        <f>IF(AB25=0,0,IF(AB25&gt;AB24,3,1))</f>
        <v>1</v>
      </c>
      <c r="AH25" s="26">
        <f>IF(AC25=0,0,IF(AC25&gt;AC24,3,1))</f>
        <v>0</v>
      </c>
      <c r="AI25">
        <f>IF(AND(AF25=0,AF26=0),0,IF(AF25+AG25=6,3,IF(AF25+AG25=2,0,IF(AF25+AG25+AH25=7,2,1))))</f>
        <v>0</v>
      </c>
      <c r="AK25" s="1">
        <f>AK6</f>
        <v>3</v>
      </c>
      <c r="AL25" s="1">
        <f t="shared" ref="AK25:AM26" si="0">AL6</f>
        <v>3</v>
      </c>
      <c r="AM25" s="1">
        <f t="shared" si="0"/>
        <v>3</v>
      </c>
      <c r="AN25" t="str">
        <f>AN28&amp; " et " &amp;AN29</f>
        <v>3 et 3</v>
      </c>
      <c r="AO25" t="str">
        <f>B5</f>
        <v>Aucune</v>
      </c>
    </row>
    <row r="26" spans="2:47" x14ac:dyDescent="0.25">
      <c r="AK26" s="29" t="str">
        <f t="shared" si="0"/>
        <v>POULE 1</v>
      </c>
      <c r="AL26" s="29" t="str">
        <f t="shared" si="0"/>
        <v>POULE 2</v>
      </c>
      <c r="AM26" s="29" t="str">
        <f t="shared" si="0"/>
        <v>POULE 3</v>
      </c>
      <c r="AN26">
        <f>IF(AO25=AO7,AK25,IF(AO25=AO8,AL25,AM25))</f>
        <v>3</v>
      </c>
    </row>
    <row r="27" spans="2:47" ht="15.75" thickBot="1" x14ac:dyDescent="0.3">
      <c r="AK27" t="e">
        <f>IF(AK25&lt;&gt;3,"",AK8)</f>
        <v>#N/A</v>
      </c>
      <c r="AL27" t="e">
        <f>IF(AL25&lt;&gt;3,"",AL8)</f>
        <v>#N/A</v>
      </c>
      <c r="AM27" t="e">
        <f>IF(AM25&lt;&gt;3,"",AM8)</f>
        <v>#N/A</v>
      </c>
      <c r="AN27">
        <f>IF(AO25=AO7,AL25,IF(AO25=AO8,AM25,AK25))</f>
        <v>3</v>
      </c>
    </row>
    <row r="28" spans="2:47" x14ac:dyDescent="0.25">
      <c r="B28">
        <f>IF($B$5&lt;&gt;$AO$6,'Calc Class'!AF23,'Calc Class'!AF34)</f>
        <v>1</v>
      </c>
      <c r="C28" t="str">
        <f>IF($B$5&lt;&gt;$AO$6,'Calc Class'!AH23,'Calc Class'!AH34)</f>
        <v/>
      </c>
      <c r="D28" t="str">
        <f>IF($B$5&lt;&gt;$AO$6,'Calc Class'!AI23,'Calc Class'!AI34)</f>
        <v/>
      </c>
      <c r="E28" t="str">
        <f>IF($B$5&lt;&gt;$AO$6,'Calc Class'!AJ23,'Calc Class'!AJ34)</f>
        <v/>
      </c>
      <c r="F28" t="str">
        <f>IF($B$5&lt;&gt;$AO$6,'Calc Class'!AK23,'Calc Class'!AK34)</f>
        <v/>
      </c>
      <c r="G28" t="str">
        <f>IF($B$5&lt;&gt;$AO$6,'Calc Class'!AL23,'Calc Class'!AL34)</f>
        <v/>
      </c>
      <c r="H28" t="str">
        <f>IF($B$5&lt;&gt;$AO$6,'Calc Class'!AM23,'Calc Class'!AM34)</f>
        <v/>
      </c>
      <c r="M28">
        <f>IF($B$5&lt;&gt;$AO$6,"",'Calc Class'!AF38)</f>
        <v>1</v>
      </c>
      <c r="N28" t="str">
        <f>IF($B$5&lt;&gt;$AO$6,"",'Calc Class'!AH38)</f>
        <v/>
      </c>
      <c r="O28" t="str">
        <f>IF($B$5&lt;&gt;$AO$6,"",'Calc Class'!AI38)</f>
        <v/>
      </c>
      <c r="P28" t="str">
        <f>IF($B$5&lt;&gt;$AO$6,"",'Calc Class'!AJ38)</f>
        <v/>
      </c>
      <c r="Q28" t="str">
        <f>IF($B$5&lt;&gt;$AO$6,"",'Calc Class'!AK38)</f>
        <v/>
      </c>
      <c r="R28" t="str">
        <f>IF($B$5&lt;&gt;$AO$6,"",'Calc Class'!AL38)</f>
        <v/>
      </c>
      <c r="S28" t="str">
        <f>IF($B$5&lt;&gt;$AO$6,"",'Calc Class'!AM38)</f>
        <v/>
      </c>
      <c r="Y28">
        <f>IF($B$5&lt;&gt;$AO$6,'Calc Class'!AF30,'Calc Class'!AF42)</f>
        <v>1</v>
      </c>
      <c r="Z28" t="str">
        <f>IF($B$5&lt;&gt;$AO$6,'Calc Class'!AH30,'Calc Class'!AH42)</f>
        <v/>
      </c>
      <c r="AA28" t="str">
        <f>IF($B$5&lt;&gt;$AO$6,'Calc Class'!AI30,'Calc Class'!AI42)</f>
        <v/>
      </c>
      <c r="AB28" t="str">
        <f>IF($B$5&lt;&gt;$AO$6,'Calc Class'!AJ30,'Calc Class'!AJ42)</f>
        <v/>
      </c>
      <c r="AC28" t="str">
        <f>IF($B$5&lt;&gt;$AO$6,'Calc Class'!AK30,'Calc Class'!AK42)</f>
        <v/>
      </c>
      <c r="AD28" t="str">
        <f>IF($B$5&lt;&gt;$AO$6,'Calc Class'!AL30,'Calc Class'!AL42)</f>
        <v/>
      </c>
      <c r="AE28" t="str">
        <f>IF($B$5&lt;&gt;$AO$6,'Calc Class'!AM30,'Calc Class'!AM42)</f>
        <v/>
      </c>
      <c r="AK28" t="e">
        <f>IF(AND($AN$21=$AN$7,$AO$21=$AO$7),AL18,IF(AND($AN$21=$AN$8,$AO$21=$AO$8),AK18,IF(AND($AN$21=$AN$9,$AO$21=$AO$9),"",IF(AND($AN$21=$AN$11,$AO$21=$AO$11),"",IF(AND($AN$21=$AN$12,$AO$21=$AO$12),AK18,IF(AND($AN$21=$AN$13,$AO$21=$AO$13),"",IF(AO16=9,AK18,"")))))))</f>
        <v>#N/A</v>
      </c>
      <c r="AL28" t="e">
        <f>IF(AND($AN$21=$AN$7,$AO$21=$AO$7),AL24,IF(AND($AN$21=$AN$8,$AO$21=$AO$8),AM18,IF(AND($AN$21=$AN$9,$AO$21=$AO$9),AL18,IF(AND($AN$21=$AN$11,$AO$21=$AO$11),AK18,IF(AND($AN$21=$AN$12,$AO$21=$AO$12),AM18,IF(AND($AN$21=$AN$13,$AO$21=$AO$13),AL13,IF(AO16=9,AL18,"")))))))</f>
        <v>#N/A</v>
      </c>
      <c r="AM28" t="e">
        <f>IF(AND($AN$21=$AN$7,$AO$21=$AO$7),AM13,IF(AND($AN$21=$AN$8,$AO$21=$AO$8),"",IF(AND($AN$21=$AN$9,$AO$21=$AO$9),AK18,IF(AND($AN$21=$AN$11,$AO$21=$AO$11),AM13,IF(AND($AN$21=$AN$12,$AO$21=$AO$12),"",IF(AND($AN$21=$AN$13,$AO$21=$AO$13),"",IF(AO16=9,AM18,"")))))))</f>
        <v>#N/A</v>
      </c>
      <c r="AN28" s="66">
        <f>MAX(AN26:AN27)</f>
        <v>3</v>
      </c>
    </row>
    <row r="29" spans="2:47" ht="15.75" thickBot="1" x14ac:dyDescent="0.3">
      <c r="B29">
        <f>IF($B$5&lt;&gt;$AO$6,'Calc Class'!AF24,'Calc Class'!AF35)</f>
        <v>2</v>
      </c>
      <c r="C29" t="str">
        <f>IF($B$5&lt;&gt;$AO$6,'Calc Class'!AH24,'Calc Class'!AH35)</f>
        <v/>
      </c>
      <c r="D29" t="str">
        <f>IF($B$5&lt;&gt;$AO$6,'Calc Class'!AI24,'Calc Class'!AI35)</f>
        <v/>
      </c>
      <c r="E29" t="str">
        <f>IF($B$5&lt;&gt;$AO$6,'Calc Class'!AJ24,'Calc Class'!AJ35)</f>
        <v/>
      </c>
      <c r="F29" t="str">
        <f>IF($B$5&lt;&gt;$AO$6,'Calc Class'!AK24,'Calc Class'!AK35)</f>
        <v/>
      </c>
      <c r="G29" t="str">
        <f>IF($B$5&lt;&gt;$AO$6,'Calc Class'!AL24,'Calc Class'!AL35)</f>
        <v/>
      </c>
      <c r="H29" t="str">
        <f>IF($B$5&lt;&gt;$AO$6,'Calc Class'!AM24,'Calc Class'!AM35)</f>
        <v/>
      </c>
      <c r="M29">
        <f>IF($B$5&lt;&gt;$AO$6,"",'Calc Class'!AF39)</f>
        <v>2</v>
      </c>
      <c r="N29" t="str">
        <f>IF($B$5&lt;&gt;$AO$6,"",'Calc Class'!AH39)</f>
        <v/>
      </c>
      <c r="O29" t="str">
        <f>IF($B$5&lt;&gt;$AO$6,"",'Calc Class'!AI39)</f>
        <v/>
      </c>
      <c r="P29" t="str">
        <f>IF($B$5&lt;&gt;$AO$6,"",'Calc Class'!AJ39)</f>
        <v/>
      </c>
      <c r="Q29" t="str">
        <f>IF($B$5&lt;&gt;$AO$6,"",'Calc Class'!AK39)</f>
        <v/>
      </c>
      <c r="R29" t="str">
        <f>IF($B$5&lt;&gt;$AO$6,"",'Calc Class'!AL39)</f>
        <v/>
      </c>
      <c r="S29" t="str">
        <f>IF($B$5&lt;&gt;$AO$6,"",'Calc Class'!AM39)</f>
        <v/>
      </c>
      <c r="Y29">
        <f>IF($B$5&lt;&gt;$AO$6,'Calc Class'!AF31,'Calc Class'!AF43)</f>
        <v>2</v>
      </c>
      <c r="Z29" t="str">
        <f>IF($B$5&lt;&gt;$AO$6,'Calc Class'!AH31,'Calc Class'!AH43)</f>
        <v/>
      </c>
      <c r="AA29" t="str">
        <f>IF($B$5&lt;&gt;$AO$6,'Calc Class'!AI31,'Calc Class'!AI43)</f>
        <v/>
      </c>
      <c r="AB29" t="str">
        <f>IF($B$5&lt;&gt;$AO$6,'Calc Class'!AJ31,'Calc Class'!AJ43)</f>
        <v/>
      </c>
      <c r="AC29" t="str">
        <f>IF($B$5&lt;&gt;$AO$6,'Calc Class'!AK31,'Calc Class'!AK43)</f>
        <v/>
      </c>
      <c r="AD29" t="str">
        <f>IF($B$5&lt;&gt;$AO$6,'Calc Class'!AL31,'Calc Class'!AL43)</f>
        <v/>
      </c>
      <c r="AE29" t="str">
        <f>IF($B$5&lt;&gt;$AO$6,'Calc Class'!AM31,'Calc Class'!AM43)</f>
        <v/>
      </c>
      <c r="AN29" s="67">
        <f>MIN(AN26:AN27)</f>
        <v>3</v>
      </c>
    </row>
    <row r="30" spans="2:47" ht="15.75" thickBot="1" x14ac:dyDescent="0.3">
      <c r="B30">
        <f>IF($B$5&lt;&gt;$AO$6,'Calc Class'!AF25,'Calc Class'!AF36)</f>
        <v>3</v>
      </c>
      <c r="C30" t="str">
        <f>IF($B$5&lt;&gt;$AO$6,'Calc Class'!AH25,'Calc Class'!AH36)</f>
        <v/>
      </c>
      <c r="D30" t="str">
        <f>IF($B$5&lt;&gt;$AO$6,'Calc Class'!AI25,'Calc Class'!AI36)</f>
        <v/>
      </c>
      <c r="E30" t="str">
        <f>IF($B$5&lt;&gt;$AO$6,'Calc Class'!AJ25,'Calc Class'!AJ36)</f>
        <v/>
      </c>
      <c r="F30" t="str">
        <f>IF($B$5&lt;&gt;$AO$6,'Calc Class'!AK25,'Calc Class'!AK36)</f>
        <v/>
      </c>
      <c r="G30" t="str">
        <f>IF($B$5&lt;&gt;$AO$6,'Calc Class'!AL25,'Calc Class'!AL36)</f>
        <v/>
      </c>
      <c r="H30" t="str">
        <f>IF($B$5&lt;&gt;$AO$6,'Calc Class'!AM25,'Calc Class'!AM36)</f>
        <v/>
      </c>
      <c r="M30">
        <f>IF($B$5&lt;&gt;$AO$6,"",'Calc Class'!AF40)</f>
        <v>3</v>
      </c>
      <c r="N30" t="str">
        <f>IF($B$5&lt;&gt;$AO$6,"",'Calc Class'!AH40)</f>
        <v/>
      </c>
      <c r="O30" t="str">
        <f>IF($B$5&lt;&gt;$AO$6,"",'Calc Class'!AI40)</f>
        <v/>
      </c>
      <c r="P30" t="str">
        <f>IF($B$5&lt;&gt;$AO$6,"",'Calc Class'!AJ40)</f>
        <v/>
      </c>
      <c r="Q30" t="str">
        <f>IF($B$5&lt;&gt;$AO$6,"",'Calc Class'!AK40)</f>
        <v/>
      </c>
      <c r="R30" t="str">
        <f>IF($B$5&lt;&gt;$AO$6,"",'Calc Class'!AL40)</f>
        <v/>
      </c>
      <c r="S30" t="str">
        <f>IF($B$5&lt;&gt;$AO$6,"",'Calc Class'!AM40)</f>
        <v/>
      </c>
      <c r="Y30">
        <f>IF($B$5&lt;&gt;$AO$6,'Calc Class'!AF32,'Calc Class'!AF44)</f>
        <v>3</v>
      </c>
      <c r="Z30" t="str">
        <f>IF($B$5&lt;&gt;$AO$6,'Calc Class'!AH32,'Calc Class'!AH44)</f>
        <v/>
      </c>
      <c r="AA30" t="str">
        <f>IF($B$5&lt;&gt;$AO$6,'Calc Class'!AI32,'Calc Class'!AI44)</f>
        <v/>
      </c>
      <c r="AB30" t="str">
        <f>IF($B$5&lt;&gt;$AO$6,'Calc Class'!AJ32,'Calc Class'!AJ44)</f>
        <v/>
      </c>
      <c r="AC30" t="str">
        <f>IF($B$5&lt;&gt;$AO$6,'Calc Class'!AK32,'Calc Class'!AK44)</f>
        <v/>
      </c>
      <c r="AD30" t="str">
        <f>IF($B$5&lt;&gt;$AO$6,'Calc Class'!AL32,'Calc Class'!AL44)</f>
        <v/>
      </c>
      <c r="AE30" t="str">
        <f>IF($B$5&lt;&gt;$AO$6,'Calc Class'!AM32,'Calc Class'!AM44)</f>
        <v/>
      </c>
      <c r="AL30" t="s">
        <v>272</v>
      </c>
      <c r="AM30" t="s">
        <v>124</v>
      </c>
      <c r="AN30" t="s">
        <v>125</v>
      </c>
      <c r="AO30" t="s">
        <v>126</v>
      </c>
      <c r="AP30" t="s">
        <v>127</v>
      </c>
      <c r="AQ30" t="s">
        <v>273</v>
      </c>
    </row>
    <row r="31" spans="2:47" x14ac:dyDescent="0.25">
      <c r="B31" t="str">
        <f>IF($B$5&lt;&gt;$AO$6,'Calc Class'!AF26,IF($AO$16=9,"",'Calc Class'!AF38))</f>
        <v/>
      </c>
      <c r="C31" t="e">
        <f>'Calc Class'!I5</f>
        <v>#N/A</v>
      </c>
      <c r="D31" t="e">
        <f>'Calc Class'!L6</f>
        <v>#VALUE!</v>
      </c>
      <c r="E31" t="e">
        <f>'Calc Class'!L7</f>
        <v>#VALUE!</v>
      </c>
      <c r="F31" t="str">
        <f>IF($B$5&lt;&gt;$AO$6,'Calc Class'!AK26,IF($AO$16=9,"",'Calc Class'!AK38))</f>
        <v/>
      </c>
      <c r="G31" t="str">
        <f>IF($B$5&lt;&gt;$AO$6,'Calc Class'!AL26,IF($AO$16=9,"",'Calc Class'!AL38))</f>
        <v/>
      </c>
      <c r="H31" t="str">
        <f>IF($B$5&lt;&gt;$AO$6,'Calc Class'!AM26,IF($AO$16=9,"",'Calc Class'!AM38))</f>
        <v/>
      </c>
      <c r="AJ31" s="47" t="str">
        <f>'Calc Class'!AF49</f>
        <v/>
      </c>
      <c r="AK31" s="48" t="str">
        <f>'Calc Class'!AH49</f>
        <v/>
      </c>
      <c r="AL31" s="48" t="str">
        <f>'Calc Class'!AM49</f>
        <v/>
      </c>
      <c r="AM31" s="48" t="str">
        <f>'Calc Class'!AI49</f>
        <v/>
      </c>
      <c r="AN31" s="48" t="str">
        <f>'Calc Class'!AJ49</f>
        <v/>
      </c>
      <c r="AO31" s="48" t="str">
        <f>'Calc Class'!AK49</f>
        <v/>
      </c>
      <c r="AP31" s="49" t="str">
        <f>'Calc Class'!AL49</f>
        <v/>
      </c>
      <c r="AQ31" s="50" t="e">
        <f>VLOOKUP(AK31,ListePoule,2,0)</f>
        <v>#N/A</v>
      </c>
      <c r="AR31">
        <f>IF(AP31=7,2,IF(AP31=4,1,0))</f>
        <v>0</v>
      </c>
      <c r="AS31">
        <f>IF(AP31=7,0,IF(AP31=4,1,2))</f>
        <v>2</v>
      </c>
      <c r="AT31" t="e">
        <f t="shared" ref="AT31:AT39" si="1">VLOOKUP(AK31,$C$31:$E$39,2,0)</f>
        <v>#N/A</v>
      </c>
      <c r="AU31" t="e">
        <f t="shared" ref="AU31:AU39" si="2">VLOOKUP(AK31,$C$31:$E$39,3,0)</f>
        <v>#N/A</v>
      </c>
    </row>
    <row r="32" spans="2:47" x14ac:dyDescent="0.25">
      <c r="B32" t="str">
        <f>IF($B$5&lt;&gt;$AO$6,'Calc Class'!AF27,IF($AO$16=9,"",'Calc Class'!AF39))</f>
        <v/>
      </c>
      <c r="C32" t="e">
        <f>'Calc Class'!I11</f>
        <v>#N/A</v>
      </c>
      <c r="D32" t="e">
        <f>'Calc Class'!L12</f>
        <v>#VALUE!</v>
      </c>
      <c r="E32" t="e">
        <f>'Calc Class'!L13</f>
        <v>#VALUE!</v>
      </c>
      <c r="F32" t="str">
        <f>IF($B$5&lt;&gt;$AO$6,'Calc Class'!AK27,IF($AO$16=9,"",'Calc Class'!AK39))</f>
        <v/>
      </c>
      <c r="G32" t="str">
        <f>IF($B$5&lt;&gt;$AO$6,'Calc Class'!AL27,IF($AO$16=9,"",'Calc Class'!AL39))</f>
        <v/>
      </c>
      <c r="H32" t="str">
        <f>IF($B$5&lt;&gt;$AO$6,'Calc Class'!AM27,IF($AO$16=9,"",'Calc Class'!AM39))</f>
        <v/>
      </c>
      <c r="AJ32" s="51" t="str">
        <f>'Calc Class'!AF50</f>
        <v/>
      </c>
      <c r="AK32" s="52" t="str">
        <f>'Calc Class'!AH50</f>
        <v/>
      </c>
      <c r="AL32" s="52" t="str">
        <f>'Calc Class'!AM50</f>
        <v/>
      </c>
      <c r="AM32" s="52" t="str">
        <f>'Calc Class'!AI50</f>
        <v/>
      </c>
      <c r="AN32" s="52" t="str">
        <f>'Calc Class'!AJ50</f>
        <v/>
      </c>
      <c r="AO32" s="52" t="str">
        <f>'Calc Class'!AK50</f>
        <v/>
      </c>
      <c r="AP32" s="53" t="str">
        <f>'Calc Class'!AL50</f>
        <v/>
      </c>
      <c r="AQ32" s="54" t="e">
        <f t="shared" ref="AQ32:AQ37" si="3">VLOOKUP(AK32,ListePoule,2,0)</f>
        <v>#N/A</v>
      </c>
      <c r="AR32">
        <f t="shared" ref="AR32:AR39" si="4">IF(AP32=7,2,IF(AP32=4,1,0))</f>
        <v>0</v>
      </c>
      <c r="AS32">
        <f t="shared" ref="AS32:AS39" si="5">IF(AP32=7,0,IF(AP32=4,1,2))</f>
        <v>2</v>
      </c>
      <c r="AT32" t="e">
        <f t="shared" si="1"/>
        <v>#N/A</v>
      </c>
      <c r="AU32" t="e">
        <f t="shared" si="2"/>
        <v>#N/A</v>
      </c>
    </row>
    <row r="33" spans="2:47" x14ac:dyDescent="0.25">
      <c r="B33" t="str">
        <f>IF($B$5&lt;&gt;$AO$6,'Calc Class'!AF28,IF($AO$16=9,"",'Calc Class'!AF40))</f>
        <v/>
      </c>
      <c r="C33" t="e">
        <f>'Calc Class'!I17</f>
        <v>#N/A</v>
      </c>
      <c r="D33" t="e">
        <f>'Calc Class'!L18</f>
        <v>#N/A</v>
      </c>
      <c r="E33" t="e">
        <f>'Calc Class'!L19</f>
        <v>#N/A</v>
      </c>
      <c r="F33" t="str">
        <f>IF($B$5&lt;&gt;$AO$6,'Calc Class'!AK28,IF($AO$16=9,"",'Calc Class'!AK40))</f>
        <v/>
      </c>
      <c r="G33" t="str">
        <f>IF($B$5&lt;&gt;$AO$6,'Calc Class'!AL28,IF($AO$16=9,"",'Calc Class'!AL40))</f>
        <v/>
      </c>
      <c r="H33" t="str">
        <f>IF($B$5&lt;&gt;$AO$6,'Calc Class'!AM28,IF($AO$16=9,"",'Calc Class'!AM40))</f>
        <v/>
      </c>
      <c r="AJ33" s="51" t="str">
        <f>'Calc Class'!AF51</f>
        <v/>
      </c>
      <c r="AK33" s="52" t="str">
        <f>'Calc Class'!AH51</f>
        <v/>
      </c>
      <c r="AL33" s="52" t="str">
        <f>'Calc Class'!AM51</f>
        <v/>
      </c>
      <c r="AM33" s="52" t="str">
        <f>'Calc Class'!AI51</f>
        <v/>
      </c>
      <c r="AN33" s="52" t="str">
        <f>'Calc Class'!AJ51</f>
        <v/>
      </c>
      <c r="AO33" s="52" t="str">
        <f>'Calc Class'!AK51</f>
        <v/>
      </c>
      <c r="AP33" s="53" t="str">
        <f>'Calc Class'!AL51</f>
        <v/>
      </c>
      <c r="AQ33" s="54" t="e">
        <f t="shared" si="3"/>
        <v>#N/A</v>
      </c>
      <c r="AR33">
        <f t="shared" si="4"/>
        <v>0</v>
      </c>
      <c r="AS33">
        <f t="shared" si="5"/>
        <v>2</v>
      </c>
      <c r="AT33" t="e">
        <f t="shared" si="1"/>
        <v>#N/A</v>
      </c>
      <c r="AU33" t="e">
        <f t="shared" si="2"/>
        <v>#N/A</v>
      </c>
    </row>
    <row r="34" spans="2:47" x14ac:dyDescent="0.25">
      <c r="C34" t="e">
        <f>'Calc Class'!Y5</f>
        <v>#N/A</v>
      </c>
      <c r="D34" t="e">
        <f>'Calc Class'!AB6</f>
        <v>#N/A</v>
      </c>
      <c r="E34" t="e">
        <f>'Calc Class'!AB7</f>
        <v>#N/A</v>
      </c>
      <c r="AJ34" s="51" t="str">
        <f>'Calc Class'!AF52</f>
        <v/>
      </c>
      <c r="AK34" s="52" t="str">
        <f>'Calc Class'!AH52</f>
        <v/>
      </c>
      <c r="AL34" s="52" t="str">
        <f>'Calc Class'!AM52</f>
        <v/>
      </c>
      <c r="AM34" s="52" t="str">
        <f>'Calc Class'!AI52</f>
        <v/>
      </c>
      <c r="AN34" s="52" t="str">
        <f>'Calc Class'!AJ52</f>
        <v/>
      </c>
      <c r="AO34" s="52" t="str">
        <f>'Calc Class'!AK52</f>
        <v/>
      </c>
      <c r="AP34" s="53" t="str">
        <f>'Calc Class'!AL52</f>
        <v/>
      </c>
      <c r="AQ34" s="54" t="e">
        <f t="shared" si="3"/>
        <v>#N/A</v>
      </c>
      <c r="AR34">
        <f t="shared" si="4"/>
        <v>0</v>
      </c>
      <c r="AS34">
        <f t="shared" si="5"/>
        <v>2</v>
      </c>
      <c r="AT34" t="e">
        <f t="shared" si="1"/>
        <v>#N/A</v>
      </c>
      <c r="AU34" t="e">
        <f t="shared" si="2"/>
        <v>#N/A</v>
      </c>
    </row>
    <row r="35" spans="2:47" x14ac:dyDescent="0.25">
      <c r="C35" t="e">
        <f>'Calc Class'!Y11</f>
        <v>#N/A</v>
      </c>
      <c r="D35" t="e">
        <f>'Calc Class'!AB12</f>
        <v>#N/A</v>
      </c>
      <c r="E35" t="e">
        <f>'Calc Class'!AB13</f>
        <v>#N/A</v>
      </c>
      <c r="AJ35" s="51" t="str">
        <f>'Calc Class'!AF53</f>
        <v/>
      </c>
      <c r="AK35" s="52" t="str">
        <f>'Calc Class'!AH53</f>
        <v/>
      </c>
      <c r="AL35" s="52" t="str">
        <f>'Calc Class'!AM53</f>
        <v/>
      </c>
      <c r="AM35" s="52" t="str">
        <f>'Calc Class'!AI53</f>
        <v/>
      </c>
      <c r="AN35" s="52" t="str">
        <f>'Calc Class'!AJ53</f>
        <v/>
      </c>
      <c r="AO35" s="52" t="str">
        <f>'Calc Class'!AK53</f>
        <v/>
      </c>
      <c r="AP35" s="53" t="str">
        <f>'Calc Class'!AL53</f>
        <v/>
      </c>
      <c r="AQ35" s="54" t="e">
        <f t="shared" si="3"/>
        <v>#N/A</v>
      </c>
      <c r="AR35">
        <f t="shared" si="4"/>
        <v>0</v>
      </c>
      <c r="AS35">
        <f t="shared" si="5"/>
        <v>2</v>
      </c>
      <c r="AT35" t="e">
        <f t="shared" si="1"/>
        <v>#N/A</v>
      </c>
      <c r="AU35" t="e">
        <f t="shared" si="2"/>
        <v>#N/A</v>
      </c>
    </row>
    <row r="36" spans="2:47" x14ac:dyDescent="0.25">
      <c r="C36" t="e">
        <f>'Calc Class'!Y17</f>
        <v>#N/A</v>
      </c>
      <c r="D36" t="e">
        <f>'Calc Class'!AB18</f>
        <v>#N/A</v>
      </c>
      <c r="E36" t="e">
        <f>'Calc Class'!AB19</f>
        <v>#N/A</v>
      </c>
      <c r="AJ36" s="51" t="str">
        <f>'Calc Class'!AF54</f>
        <v/>
      </c>
      <c r="AK36" s="52" t="str">
        <f>'Calc Class'!AH54</f>
        <v/>
      </c>
      <c r="AL36" s="52" t="str">
        <f>'Calc Class'!AM54</f>
        <v/>
      </c>
      <c r="AM36" s="52" t="str">
        <f>'Calc Class'!AI54</f>
        <v/>
      </c>
      <c r="AN36" s="52" t="str">
        <f>'Calc Class'!AJ54</f>
        <v/>
      </c>
      <c r="AO36" s="52" t="str">
        <f>'Calc Class'!AK54</f>
        <v/>
      </c>
      <c r="AP36" s="53" t="str">
        <f>'Calc Class'!AL54</f>
        <v/>
      </c>
      <c r="AQ36" s="54" t="e">
        <f t="shared" si="3"/>
        <v>#N/A</v>
      </c>
      <c r="AR36">
        <f t="shared" si="4"/>
        <v>0</v>
      </c>
      <c r="AS36">
        <f t="shared" si="5"/>
        <v>2</v>
      </c>
      <c r="AT36" t="e">
        <f t="shared" si="1"/>
        <v>#N/A</v>
      </c>
      <c r="AU36" t="e">
        <f t="shared" si="2"/>
        <v>#N/A</v>
      </c>
    </row>
    <row r="37" spans="2:47" x14ac:dyDescent="0.25">
      <c r="C37" t="e">
        <f>'Calc Class'!AO5</f>
        <v>#N/A</v>
      </c>
      <c r="D37" t="e">
        <f>'Calc Class'!AR6</f>
        <v>#N/A</v>
      </c>
      <c r="E37" t="e">
        <f>'Calc Class'!AR7</f>
        <v>#N/A</v>
      </c>
      <c r="AJ37" s="51" t="str">
        <f>'Calc Class'!AF55</f>
        <v/>
      </c>
      <c r="AK37" s="52" t="str">
        <f>'Calc Class'!AH55</f>
        <v/>
      </c>
      <c r="AL37" s="52" t="str">
        <f>'Calc Class'!AM55</f>
        <v/>
      </c>
      <c r="AM37" s="52" t="str">
        <f>'Calc Class'!AI55</f>
        <v/>
      </c>
      <c r="AN37" s="52" t="str">
        <f>'Calc Class'!AJ55</f>
        <v/>
      </c>
      <c r="AO37" s="52" t="str">
        <f>'Calc Class'!AK55</f>
        <v/>
      </c>
      <c r="AP37" s="53" t="str">
        <f>'Calc Class'!AL55</f>
        <v/>
      </c>
      <c r="AQ37" s="54" t="e">
        <f t="shared" si="3"/>
        <v>#N/A</v>
      </c>
      <c r="AR37">
        <f t="shared" si="4"/>
        <v>0</v>
      </c>
      <c r="AS37">
        <f t="shared" si="5"/>
        <v>2</v>
      </c>
      <c r="AT37" t="e">
        <f t="shared" si="1"/>
        <v>#N/A</v>
      </c>
      <c r="AU37" t="e">
        <f t="shared" si="2"/>
        <v>#N/A</v>
      </c>
    </row>
    <row r="38" spans="2:47" x14ac:dyDescent="0.25">
      <c r="C38" t="e">
        <f>'Calc Class'!AO11</f>
        <v>#N/A</v>
      </c>
      <c r="D38" t="e">
        <f>'Calc Class'!AR12</f>
        <v>#N/A</v>
      </c>
      <c r="E38" t="e">
        <f>'Calc Class'!AR13</f>
        <v>#N/A</v>
      </c>
      <c r="AJ38" s="51" t="str">
        <f>'Calc Class'!AF56</f>
        <v/>
      </c>
      <c r="AK38" s="52" t="str">
        <f>'Calc Class'!AH56</f>
        <v/>
      </c>
      <c r="AL38" s="52" t="str">
        <f>'Calc Class'!AM56</f>
        <v/>
      </c>
      <c r="AM38" s="52" t="str">
        <f>'Calc Class'!AI56</f>
        <v/>
      </c>
      <c r="AN38" s="52" t="str">
        <f>'Calc Class'!AJ56</f>
        <v/>
      </c>
      <c r="AO38" s="52" t="str">
        <f>'Calc Class'!AK56</f>
        <v/>
      </c>
      <c r="AP38" s="53" t="str">
        <f>'Calc Class'!AL56</f>
        <v/>
      </c>
      <c r="AQ38" s="54" t="e">
        <f>VLOOKUP(AK38,ListePoule,2,0)</f>
        <v>#N/A</v>
      </c>
      <c r="AR38">
        <f t="shared" si="4"/>
        <v>0</v>
      </c>
      <c r="AS38">
        <f t="shared" si="5"/>
        <v>2</v>
      </c>
      <c r="AT38" t="e">
        <f t="shared" si="1"/>
        <v>#N/A</v>
      </c>
      <c r="AU38" t="e">
        <f t="shared" si="2"/>
        <v>#N/A</v>
      </c>
    </row>
    <row r="39" spans="2:47" ht="15.75" thickBot="1" x14ac:dyDescent="0.3">
      <c r="C39" t="e">
        <f>'Calc Class'!AO17</f>
        <v>#N/A</v>
      </c>
      <c r="D39" t="e">
        <f>'Calc Class'!AR18</f>
        <v>#N/A</v>
      </c>
      <c r="E39" t="e">
        <f>'Calc Class'!AR19</f>
        <v>#N/A</v>
      </c>
      <c r="AJ39" s="55" t="str">
        <f>'Calc Class'!AF57</f>
        <v/>
      </c>
      <c r="AK39" s="56" t="str">
        <f>'Calc Class'!AH57</f>
        <v/>
      </c>
      <c r="AL39" s="56" t="str">
        <f>'Calc Class'!AM57</f>
        <v/>
      </c>
      <c r="AM39" s="56" t="str">
        <f>'Calc Class'!AI57</f>
        <v/>
      </c>
      <c r="AN39" s="56" t="str">
        <f>'Calc Class'!AJ57</f>
        <v/>
      </c>
      <c r="AO39" s="56" t="str">
        <f>'Calc Class'!AK57</f>
        <v/>
      </c>
      <c r="AP39" s="57" t="str">
        <f>'Calc Class'!AL57</f>
        <v/>
      </c>
      <c r="AQ39" s="58" t="e">
        <f>VLOOKUP(AK39,ListePoule,2,0)</f>
        <v>#N/A</v>
      </c>
      <c r="AR39">
        <f t="shared" si="4"/>
        <v>0</v>
      </c>
      <c r="AS39">
        <f t="shared" si="5"/>
        <v>2</v>
      </c>
      <c r="AT39" t="e">
        <f t="shared" si="1"/>
        <v>#N/A</v>
      </c>
      <c r="AU39" t="e">
        <f t="shared" si="2"/>
        <v>#N/A</v>
      </c>
    </row>
  </sheetData>
  <sheetProtection sheet="1" objects="1" scenarios="1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AV65"/>
  <sheetViews>
    <sheetView workbookViewId="0">
      <selection activeCell="AJ49" sqref="AJ49"/>
    </sheetView>
  </sheetViews>
  <sheetFormatPr baseColWidth="10" defaultRowHeight="15" x14ac:dyDescent="0.25"/>
  <cols>
    <col min="1" max="1" width="2.140625" style="1" customWidth="1"/>
    <col min="2" max="2" width="21.28515625" style="1" bestFit="1" customWidth="1"/>
    <col min="3" max="3" width="3.85546875" style="1" customWidth="1"/>
    <col min="4" max="4" width="4.7109375" style="1" customWidth="1"/>
    <col min="5" max="5" width="3.5703125" style="1" customWidth="1"/>
    <col min="6" max="6" width="6.7109375" style="1" customWidth="1"/>
    <col min="7" max="7" width="8" style="1" customWidth="1"/>
    <col min="8" max="8" width="4.42578125" style="1" customWidth="1"/>
    <col min="9" max="9" width="16.140625" style="1" customWidth="1"/>
    <col min="10" max="10" width="3" style="1" bestFit="1" customWidth="1"/>
    <col min="11" max="11" width="4.42578125" style="1" customWidth="1"/>
    <col min="12" max="12" width="3" style="1" bestFit="1" customWidth="1"/>
    <col min="13" max="14" width="4" style="1" bestFit="1" customWidth="1"/>
    <col min="15" max="15" width="3" style="1" bestFit="1" customWidth="1"/>
    <col min="16" max="16" width="4.5703125" style="1" customWidth="1"/>
    <col min="17" max="17" width="2.28515625" style="1" customWidth="1"/>
    <col min="18" max="18" width="24.7109375" style="1" bestFit="1" customWidth="1"/>
    <col min="19" max="19" width="4.5703125" style="1" customWidth="1"/>
    <col min="20" max="20" width="4.28515625" style="1" customWidth="1"/>
    <col min="21" max="21" width="3" style="1" bestFit="1" customWidth="1"/>
    <col min="22" max="22" width="4.140625" style="1" customWidth="1"/>
    <col min="23" max="23" width="4" style="1" bestFit="1" customWidth="1"/>
    <col min="24" max="24" width="3.42578125" style="1" customWidth="1"/>
    <col min="25" max="25" width="15.5703125" style="1" customWidth="1"/>
    <col min="26" max="26" width="4.5703125" style="1" customWidth="1"/>
    <col min="27" max="27" width="4" style="1" bestFit="1" customWidth="1"/>
    <col min="28" max="28" width="4.5703125" style="1" customWidth="1"/>
    <col min="29" max="29" width="4.140625" style="1" customWidth="1"/>
    <col min="30" max="30" width="4.28515625" style="1" customWidth="1"/>
    <col min="31" max="33" width="2.7109375" style="1" customWidth="1"/>
    <col min="34" max="34" width="21.28515625" style="1" bestFit="1" customWidth="1"/>
    <col min="35" max="35" width="4.140625" style="1" customWidth="1"/>
    <col min="36" max="36" width="4" style="1" bestFit="1" customWidth="1"/>
    <col min="37" max="37" width="3.140625" style="1" customWidth="1"/>
    <col min="38" max="38" width="4.5703125" style="1" bestFit="1" customWidth="1"/>
    <col min="39" max="39" width="7.5703125" style="1" customWidth="1"/>
    <col min="40" max="40" width="2" style="1" bestFit="1" customWidth="1"/>
    <col min="41" max="41" width="15.85546875" style="1" customWidth="1"/>
    <col min="42" max="42" width="4" style="1" bestFit="1" customWidth="1"/>
    <col min="43" max="44" width="3" style="1" bestFit="1" customWidth="1"/>
    <col min="45" max="46" width="4" style="1" bestFit="1" customWidth="1"/>
    <col min="47" max="47" width="3" style="1" bestFit="1" customWidth="1"/>
    <col min="48" max="48" width="2" style="1" bestFit="1" customWidth="1"/>
    <col min="49" max="16384" width="11.42578125" style="1"/>
  </cols>
  <sheetData>
    <row r="1" spans="2:48" ht="15.75" thickBot="1" x14ac:dyDescent="0.3">
      <c r="F1" s="1" t="s">
        <v>339</v>
      </c>
      <c r="G1" s="1" t="s">
        <v>340</v>
      </c>
      <c r="J1" s="1">
        <v>2</v>
      </c>
      <c r="K1" s="1">
        <v>3</v>
      </c>
      <c r="L1" s="1">
        <v>4</v>
      </c>
      <c r="M1" s="1">
        <v>5</v>
      </c>
      <c r="N1" s="1">
        <v>6</v>
      </c>
      <c r="O1" s="1">
        <v>7</v>
      </c>
      <c r="Z1" s="1">
        <v>2</v>
      </c>
      <c r="AA1" s="1">
        <v>3</v>
      </c>
      <c r="AB1" s="1">
        <v>4</v>
      </c>
      <c r="AC1" s="1">
        <v>5</v>
      </c>
      <c r="AD1" s="1">
        <v>6</v>
      </c>
      <c r="AE1" s="1">
        <v>7</v>
      </c>
      <c r="AP1" s="1">
        <v>2</v>
      </c>
      <c r="AQ1" s="1">
        <v>3</v>
      </c>
      <c r="AR1" s="1">
        <v>4</v>
      </c>
      <c r="AS1" s="1">
        <v>5</v>
      </c>
      <c r="AT1" s="1">
        <v>6</v>
      </c>
      <c r="AU1" s="1">
        <v>7</v>
      </c>
    </row>
    <row r="2" spans="2:48" ht="15.75" thickBot="1" x14ac:dyDescent="0.3">
      <c r="B2" s="12" t="e">
        <f>'Calc Feuille de résultats'!C6</f>
        <v>#N/A</v>
      </c>
      <c r="C2" s="13">
        <f>'Calc Feuille de résultats'!D6</f>
        <v>0</v>
      </c>
      <c r="D2" s="13" t="str">
        <f>'Calc Feuille de résultats'!E6</f>
        <v/>
      </c>
      <c r="E2" s="13">
        <f>'Calc Feuille de résultats'!F6</f>
        <v>0</v>
      </c>
      <c r="F2" s="13">
        <f>'Calc Feuille de résultats'!G6</f>
        <v>0</v>
      </c>
      <c r="G2" s="13">
        <f>'Calc Feuille de résultats'!H6</f>
        <v>0</v>
      </c>
      <c r="H2" s="13">
        <f>'Calc Feuille de résultats'!L6</f>
        <v>0</v>
      </c>
      <c r="I2" s="23" t="e">
        <f t="shared" ref="I2:O2" si="0">B2</f>
        <v>#N/A</v>
      </c>
      <c r="J2" s="1">
        <f t="shared" si="0"/>
        <v>0</v>
      </c>
      <c r="K2" s="1" t="str">
        <f t="shared" si="0"/>
        <v/>
      </c>
      <c r="L2" s="1">
        <f t="shared" si="0"/>
        <v>0</v>
      </c>
      <c r="M2" s="206">
        <f t="shared" si="0"/>
        <v>0</v>
      </c>
      <c r="N2" s="206">
        <f t="shared" si="0"/>
        <v>0</v>
      </c>
      <c r="O2" s="206">
        <f t="shared" si="0"/>
        <v>0</v>
      </c>
      <c r="P2" s="1" t="e">
        <f>IF(AND(J2="",J3=""),"",IF(O2&gt;1,2,1))</f>
        <v>#N/A</v>
      </c>
      <c r="R2" s="12" t="e">
        <f t="shared" ref="R2:R13" si="1">B8</f>
        <v>#N/A</v>
      </c>
      <c r="S2" s="13">
        <f t="shared" ref="S2:S13" si="2">C8</f>
        <v>0</v>
      </c>
      <c r="T2" s="13" t="str">
        <f t="shared" ref="T2:T13" si="3">D8</f>
        <v/>
      </c>
      <c r="U2" s="13">
        <f t="shared" ref="U2:U13" si="4">E8</f>
        <v>0</v>
      </c>
      <c r="V2" s="205">
        <f t="shared" ref="V2:V13" si="5">F8</f>
        <v>0</v>
      </c>
      <c r="W2" s="205">
        <f>G8</f>
        <v>0</v>
      </c>
      <c r="X2" s="14">
        <f t="shared" ref="X2:X13" si="6">H8</f>
        <v>0</v>
      </c>
      <c r="Y2" s="23" t="e">
        <f t="shared" ref="Y2:AD2" si="7">R2</f>
        <v>#N/A</v>
      </c>
      <c r="Z2" s="1">
        <f t="shared" si="7"/>
        <v>0</v>
      </c>
      <c r="AA2" s="1" t="str">
        <f t="shared" si="7"/>
        <v/>
      </c>
      <c r="AB2" s="1">
        <f t="shared" si="7"/>
        <v>0</v>
      </c>
      <c r="AC2" s="206">
        <f t="shared" si="7"/>
        <v>0</v>
      </c>
      <c r="AD2" s="206">
        <f t="shared" si="7"/>
        <v>0</v>
      </c>
      <c r="AE2" s="1">
        <f>IF(Z2=0,0,X2)</f>
        <v>0</v>
      </c>
      <c r="AF2" s="1" t="e">
        <f>IF(AND(Z2="",Z3=""),"",IF(AE2&gt;1,2,1))</f>
        <v>#N/A</v>
      </c>
      <c r="AH2" s="12" t="e">
        <f t="shared" ref="AH2:AH13" si="8">R8</f>
        <v>#N/A</v>
      </c>
      <c r="AI2" s="13">
        <f t="shared" ref="AI2:AI13" si="9">S8</f>
        <v>0</v>
      </c>
      <c r="AJ2" s="13" t="str">
        <f t="shared" ref="AJ2:AJ13" si="10">T8</f>
        <v/>
      </c>
      <c r="AK2" s="13">
        <f t="shared" ref="AK2:AK13" si="11">U8</f>
        <v>0</v>
      </c>
      <c r="AL2" s="21">
        <f t="shared" ref="AL2:AL13" si="12">V8</f>
        <v>0</v>
      </c>
      <c r="AM2" s="21">
        <f t="shared" ref="AM2:AM13" si="13">W8</f>
        <v>0</v>
      </c>
      <c r="AN2" s="14">
        <f t="shared" ref="AN2:AN13" si="14">X8</f>
        <v>0</v>
      </c>
      <c r="AO2" s="23" t="e">
        <f t="shared" ref="AO2:AU2" si="15">AH2</f>
        <v>#N/A</v>
      </c>
      <c r="AP2" s="1">
        <f t="shared" si="15"/>
        <v>0</v>
      </c>
      <c r="AQ2" s="1" t="str">
        <f t="shared" si="15"/>
        <v/>
      </c>
      <c r="AR2" s="1">
        <f t="shared" si="15"/>
        <v>0</v>
      </c>
      <c r="AS2" s="206">
        <f t="shared" si="15"/>
        <v>0</v>
      </c>
      <c r="AT2" s="1">
        <f t="shared" si="15"/>
        <v>0</v>
      </c>
      <c r="AU2" s="1">
        <f t="shared" si="15"/>
        <v>0</v>
      </c>
      <c r="AV2" s="1" t="e">
        <f>IF(AND(AP2="",AP3=""),"",IF(AU2&gt;1,2,1))</f>
        <v>#N/A</v>
      </c>
    </row>
    <row r="3" spans="2:48" x14ac:dyDescent="0.25">
      <c r="B3" s="15" t="e">
        <f>'Calc Feuille de résultats'!C7</f>
        <v>#N/A</v>
      </c>
      <c r="C3" s="1">
        <f>'Calc Feuille de résultats'!D7</f>
        <v>0</v>
      </c>
      <c r="D3" s="1" t="str">
        <f>'Calc Feuille de résultats'!E7</f>
        <v/>
      </c>
      <c r="E3" s="1">
        <f>'Calc Feuille de résultats'!F7</f>
        <v>0</v>
      </c>
      <c r="F3" s="1">
        <f>'Calc Feuille de résultats'!G7</f>
        <v>0</v>
      </c>
      <c r="G3" s="1">
        <f>'Calc Feuille de résultats'!H7</f>
        <v>0</v>
      </c>
      <c r="H3" s="13">
        <f>'Calc Feuille de résultats'!L7</f>
        <v>0</v>
      </c>
      <c r="J3" s="1" t="e">
        <f>VLOOKUP($I$2,$B$4:$H$19,J$1,0)</f>
        <v>#N/A</v>
      </c>
      <c r="K3" s="1" t="e">
        <f>VLOOKUP($I$2,$B$4:$H$19,K$1,0)</f>
        <v>#N/A</v>
      </c>
      <c r="L3" s="1" t="e">
        <f>VLOOKUP($I$2,$B$4:$H$19,L$1,0)</f>
        <v>#N/A</v>
      </c>
      <c r="M3" s="206" t="e">
        <f>VLOOKUP($I$2,$B$4:$H$19,M$1,0)</f>
        <v>#N/A</v>
      </c>
      <c r="N3" s="206" t="str">
        <f>IFERROR(VLOOKUP($I$2,$B$4:$H$19,N$1,0),"")</f>
        <v/>
      </c>
      <c r="O3" s="206" t="str">
        <f>IFERROR(VLOOKUP($I$2,$B$4:$H$19,O$1,0),"")</f>
        <v/>
      </c>
      <c r="P3" s="1" t="e">
        <f>IF(AND(J3="",J4=""),"",IF(O3&gt;1,2,1))</f>
        <v>#N/A</v>
      </c>
      <c r="R3" s="15" t="e">
        <f t="shared" si="1"/>
        <v>#N/A</v>
      </c>
      <c r="S3" s="1">
        <f t="shared" si="2"/>
        <v>0</v>
      </c>
      <c r="T3" s="1" t="str">
        <f t="shared" si="3"/>
        <v/>
      </c>
      <c r="U3" s="1">
        <f t="shared" si="4"/>
        <v>0</v>
      </c>
      <c r="V3" s="206">
        <f t="shared" si="5"/>
        <v>0</v>
      </c>
      <c r="W3" s="206">
        <f t="shared" ref="W3:W13" si="16">G9</f>
        <v>0</v>
      </c>
      <c r="X3" s="16">
        <f t="shared" si="6"/>
        <v>0</v>
      </c>
      <c r="Z3" s="1" t="e">
        <f>VLOOKUP($Y$2,$R$4:$X$19,Z$1,0)</f>
        <v>#N/A</v>
      </c>
      <c r="AA3" s="1" t="e">
        <f>VLOOKUP($Y$2,$R$4:$X$19,AA$1,0)</f>
        <v>#N/A</v>
      </c>
      <c r="AB3" s="1" t="e">
        <f>VLOOKUP($Y$2,$R$4:$X$19,AB$1,0)</f>
        <v>#N/A</v>
      </c>
      <c r="AC3" s="206" t="e">
        <f>VLOOKUP($Y$2,$R$4:$X$19,AC$1,0)</f>
        <v>#N/A</v>
      </c>
      <c r="AD3" s="206" t="str">
        <f>IFERROR(VLOOKUP($Y$2,$R$4:$X$19,AD$1,0),"")</f>
        <v/>
      </c>
      <c r="AE3" s="1" t="e">
        <f>IF(OR(AA3=0,AA3=""),0,VLOOKUP($Y$2,$R$4:$X$19,AE$1,0))</f>
        <v>#N/A</v>
      </c>
      <c r="AF3" s="1" t="e">
        <f>IF(AND(Z3="",Z4=""),"",IF(AE3&gt;1,2,1))</f>
        <v>#N/A</v>
      </c>
      <c r="AH3" s="15" t="e">
        <f t="shared" si="8"/>
        <v>#N/A</v>
      </c>
      <c r="AI3" s="1">
        <f t="shared" si="9"/>
        <v>0</v>
      </c>
      <c r="AJ3" s="1" t="str">
        <f t="shared" si="10"/>
        <v/>
      </c>
      <c r="AK3" s="1">
        <f t="shared" si="11"/>
        <v>0</v>
      </c>
      <c r="AL3" s="20">
        <f t="shared" si="12"/>
        <v>0</v>
      </c>
      <c r="AM3" s="20">
        <f t="shared" si="13"/>
        <v>0</v>
      </c>
      <c r="AN3" s="16">
        <f t="shared" si="14"/>
        <v>0</v>
      </c>
      <c r="AP3" s="1" t="e">
        <f t="shared" ref="AP3:AU3" si="17">VLOOKUP($AO$2,$AH$4:$AN$19,AP$1,0)</f>
        <v>#N/A</v>
      </c>
      <c r="AQ3" s="1" t="e">
        <f t="shared" si="17"/>
        <v>#N/A</v>
      </c>
      <c r="AR3" s="1" t="e">
        <f t="shared" si="17"/>
        <v>#N/A</v>
      </c>
      <c r="AS3" s="206" t="e">
        <f t="shared" si="17"/>
        <v>#N/A</v>
      </c>
      <c r="AT3" s="1" t="e">
        <f t="shared" si="17"/>
        <v>#N/A</v>
      </c>
      <c r="AU3" s="1" t="e">
        <f t="shared" si="17"/>
        <v>#N/A</v>
      </c>
      <c r="AV3" s="1" t="e">
        <f>IF(AND(AP3="",AP4=""),"",IF(AU3&gt;1,2,1))</f>
        <v>#N/A</v>
      </c>
    </row>
    <row r="4" spans="2:48" x14ac:dyDescent="0.25">
      <c r="B4" s="15" t="e">
        <f>'Calc Feuille de résultats'!C15</f>
        <v>#N/A</v>
      </c>
      <c r="C4" s="1">
        <f>'Calc Feuille de résultats'!D15</f>
        <v>0</v>
      </c>
      <c r="D4" s="1" t="str">
        <f>'Calc Feuille de résultats'!E15</f>
        <v/>
      </c>
      <c r="E4" s="1">
        <f>'Calc Feuille de résultats'!F15</f>
        <v>0</v>
      </c>
      <c r="F4" s="1">
        <f>'Calc Feuille de résultats'!G15</f>
        <v>0</v>
      </c>
      <c r="G4" s="206">
        <f>'Calc Feuille de résultats'!H15</f>
        <v>0</v>
      </c>
      <c r="H4" s="1">
        <f>'Calc Feuille de résultats'!L15</f>
        <v>0</v>
      </c>
      <c r="M4" s="206"/>
      <c r="N4" s="206"/>
      <c r="R4" s="15" t="e">
        <f t="shared" si="1"/>
        <v>#N/A</v>
      </c>
      <c r="S4" s="1">
        <f t="shared" si="2"/>
        <v>0</v>
      </c>
      <c r="T4" s="1" t="str">
        <f t="shared" si="3"/>
        <v/>
      </c>
      <c r="U4" s="1">
        <f t="shared" si="4"/>
        <v>0</v>
      </c>
      <c r="V4" s="206">
        <f t="shared" si="5"/>
        <v>0</v>
      </c>
      <c r="W4" s="206">
        <f t="shared" si="16"/>
        <v>0</v>
      </c>
      <c r="X4" s="16">
        <f t="shared" si="6"/>
        <v>0</v>
      </c>
      <c r="AC4" s="206"/>
      <c r="AD4" s="206"/>
      <c r="AH4" s="15" t="e">
        <f t="shared" si="8"/>
        <v>#N/A</v>
      </c>
      <c r="AI4" s="1">
        <f t="shared" si="9"/>
        <v>0</v>
      </c>
      <c r="AJ4" s="1" t="str">
        <f t="shared" si="10"/>
        <v/>
      </c>
      <c r="AK4" s="1">
        <f t="shared" si="11"/>
        <v>0</v>
      </c>
      <c r="AL4" s="20">
        <f t="shared" si="12"/>
        <v>0</v>
      </c>
      <c r="AM4" s="20">
        <f t="shared" si="13"/>
        <v>0</v>
      </c>
      <c r="AN4" s="16">
        <f t="shared" si="14"/>
        <v>0</v>
      </c>
      <c r="AS4" s="206"/>
    </row>
    <row r="5" spans="2:48" x14ac:dyDescent="0.25">
      <c r="B5" s="15" t="e">
        <f>'Calc Feuille de résultats'!C16</f>
        <v>#N/A</v>
      </c>
      <c r="C5" s="1">
        <f>'Calc Feuille de résultats'!D16</f>
        <v>0</v>
      </c>
      <c r="D5" s="1" t="str">
        <f>'Calc Feuille de résultats'!E16</f>
        <v/>
      </c>
      <c r="E5" s="1">
        <f>'Calc Feuille de résultats'!F16</f>
        <v>0</v>
      </c>
      <c r="F5" s="1">
        <f>'Calc Feuille de résultats'!G16</f>
        <v>0</v>
      </c>
      <c r="G5" s="206">
        <f>'Calc Feuille de résultats'!H16</f>
        <v>0</v>
      </c>
      <c r="H5" s="1">
        <f>'Calc Feuille de résultats'!L16</f>
        <v>0</v>
      </c>
      <c r="I5" s="1" t="e">
        <f>I2</f>
        <v>#N/A</v>
      </c>
      <c r="J5" s="1" t="e">
        <f>SUM(J2:J3)</f>
        <v>#N/A</v>
      </c>
      <c r="K5" s="1" t="e">
        <f>SUM(K2:K3)</f>
        <v>#N/A</v>
      </c>
      <c r="L5" s="1" t="e">
        <f>MAX(L2:L3)</f>
        <v>#N/A</v>
      </c>
      <c r="M5" s="206" t="e">
        <f>SUM(M2:M3)</f>
        <v>#N/A</v>
      </c>
      <c r="N5" s="206">
        <f>SUM(N2:N3)</f>
        <v>0</v>
      </c>
      <c r="O5" s="1">
        <f>SUM(O2:O4)</f>
        <v>0</v>
      </c>
      <c r="P5" s="1" t="e">
        <f>SUM(P2:P4)</f>
        <v>#N/A</v>
      </c>
      <c r="R5" s="15" t="e">
        <f t="shared" si="1"/>
        <v>#N/A</v>
      </c>
      <c r="S5" s="1">
        <f t="shared" si="2"/>
        <v>0</v>
      </c>
      <c r="T5" s="1" t="str">
        <f t="shared" si="3"/>
        <v/>
      </c>
      <c r="U5" s="1">
        <f t="shared" si="4"/>
        <v>0</v>
      </c>
      <c r="V5" s="206">
        <f t="shared" si="5"/>
        <v>0</v>
      </c>
      <c r="W5" s="206">
        <f t="shared" si="16"/>
        <v>0</v>
      </c>
      <c r="X5" s="16">
        <f t="shared" si="6"/>
        <v>0</v>
      </c>
      <c r="Y5" s="1" t="e">
        <f>Y2</f>
        <v>#N/A</v>
      </c>
      <c r="Z5" s="1" t="e">
        <f>SUM(Z2:Z3)</f>
        <v>#N/A</v>
      </c>
      <c r="AA5" s="1" t="e">
        <f>SUM(AA2:AA3)</f>
        <v>#N/A</v>
      </c>
      <c r="AB5" s="1" t="e">
        <f>MAX(AB2:AB3)</f>
        <v>#N/A</v>
      </c>
      <c r="AC5" s="206" t="e">
        <f>SUM(AC2:AC3)</f>
        <v>#N/A</v>
      </c>
      <c r="AD5" s="206">
        <f>SUM(AD2:AD3)</f>
        <v>0</v>
      </c>
      <c r="AE5" s="1" t="e">
        <f>SUM(AE2:AE4)</f>
        <v>#N/A</v>
      </c>
      <c r="AF5" s="1" t="e">
        <f>SUM(AF2:AF4)</f>
        <v>#N/A</v>
      </c>
      <c r="AH5" s="15" t="e">
        <f t="shared" si="8"/>
        <v>#N/A</v>
      </c>
      <c r="AI5" s="1">
        <f t="shared" si="9"/>
        <v>0</v>
      </c>
      <c r="AJ5" s="1" t="str">
        <f t="shared" si="10"/>
        <v/>
      </c>
      <c r="AK5" s="1">
        <f t="shared" si="11"/>
        <v>0</v>
      </c>
      <c r="AL5" s="20">
        <f t="shared" si="12"/>
        <v>0</v>
      </c>
      <c r="AM5" s="20">
        <f t="shared" si="13"/>
        <v>0</v>
      </c>
      <c r="AN5" s="16">
        <f t="shared" si="14"/>
        <v>0</v>
      </c>
      <c r="AO5" s="1" t="e">
        <f>AO2</f>
        <v>#N/A</v>
      </c>
      <c r="AP5" s="1" t="e">
        <f>SUM(AP2:AP3)</f>
        <v>#N/A</v>
      </c>
      <c r="AQ5" s="1" t="e">
        <f>SUM(AQ2:AQ3)</f>
        <v>#N/A</v>
      </c>
      <c r="AR5" s="1" t="e">
        <f>MAX(AR2:AR3)</f>
        <v>#N/A</v>
      </c>
      <c r="AS5" s="206" t="e">
        <f>SUM(AS2:AS3)</f>
        <v>#N/A</v>
      </c>
      <c r="AT5" s="206" t="e">
        <f>SUM(AT2:AT3)</f>
        <v>#N/A</v>
      </c>
      <c r="AU5" s="1" t="e">
        <f>SUM(AU2:AU4)</f>
        <v>#N/A</v>
      </c>
      <c r="AV5" s="1" t="e">
        <f>SUM(AV2:AV4)</f>
        <v>#N/A</v>
      </c>
    </row>
    <row r="6" spans="2:48" x14ac:dyDescent="0.25">
      <c r="B6" s="15" t="e">
        <f>'Calc Feuille de résultats'!C24</f>
        <v>#N/A</v>
      </c>
      <c r="C6" s="1">
        <f>'Calc Feuille de résultats'!D24</f>
        <v>0</v>
      </c>
      <c r="D6" s="1" t="str">
        <f>'Calc Feuille de résultats'!E24</f>
        <v/>
      </c>
      <c r="E6" s="1">
        <f>'Calc Feuille de résultats'!F24</f>
        <v>0</v>
      </c>
      <c r="F6" s="1">
        <f>'Calc Feuille de résultats'!G24</f>
        <v>0</v>
      </c>
      <c r="G6" s="206">
        <f>'Calc Feuille de résultats'!H24</f>
        <v>0</v>
      </c>
      <c r="H6" s="1">
        <f>'Calc Feuille de résultats'!L24</f>
        <v>0</v>
      </c>
      <c r="I6" s="212" t="s">
        <v>343</v>
      </c>
      <c r="J6" s="1">
        <f>IF(O2=3,3,IF(O2=2,2,IF(O2=1,1,IF(O2=0,0,""))))</f>
        <v>0</v>
      </c>
      <c r="K6" s="1" t="str">
        <f>IF(O3=3,3,IF(O3=2,2,IF(O3=1,1,IF(O3=0,0,""))))</f>
        <v/>
      </c>
      <c r="L6" s="1" t="e">
        <f>J6+K6</f>
        <v>#VALUE!</v>
      </c>
      <c r="N6" s="206"/>
      <c r="R6" s="15" t="e">
        <f t="shared" si="1"/>
        <v>#N/A</v>
      </c>
      <c r="S6" s="1">
        <f t="shared" si="2"/>
        <v>0</v>
      </c>
      <c r="T6" s="1" t="str">
        <f t="shared" si="3"/>
        <v/>
      </c>
      <c r="U6" s="1">
        <f t="shared" si="4"/>
        <v>0</v>
      </c>
      <c r="V6" s="206">
        <f t="shared" si="5"/>
        <v>0</v>
      </c>
      <c r="W6" s="206">
        <f t="shared" si="16"/>
        <v>0</v>
      </c>
      <c r="X6" s="16">
        <f t="shared" si="6"/>
        <v>0</v>
      </c>
      <c r="Y6" s="212" t="s">
        <v>343</v>
      </c>
      <c r="Z6" s="1">
        <f>IF(AE2=3,3,IF(AE2=2,2,IF(AE2=1,1,IF(AE2=0,0,""))))</f>
        <v>0</v>
      </c>
      <c r="AA6" s="1" t="e">
        <f>IF(AE3=3,3,IF(AE3=2,2,IF(AE3=1,1,IF(AE3=0,0,""))))</f>
        <v>#N/A</v>
      </c>
      <c r="AB6" s="1" t="e">
        <f>Z6+AA6</f>
        <v>#N/A</v>
      </c>
      <c r="AC6" s="206"/>
      <c r="AD6" s="206"/>
      <c r="AH6" s="15" t="e">
        <f t="shared" si="8"/>
        <v>#N/A</v>
      </c>
      <c r="AI6" s="1">
        <f t="shared" si="9"/>
        <v>0</v>
      </c>
      <c r="AJ6" s="1" t="str">
        <f t="shared" si="10"/>
        <v/>
      </c>
      <c r="AK6" s="1">
        <f t="shared" si="11"/>
        <v>0</v>
      </c>
      <c r="AL6" s="20">
        <f t="shared" si="12"/>
        <v>0</v>
      </c>
      <c r="AM6" s="20">
        <f t="shared" si="13"/>
        <v>0</v>
      </c>
      <c r="AN6" s="16">
        <f t="shared" si="14"/>
        <v>0</v>
      </c>
      <c r="AO6" s="212" t="s">
        <v>343</v>
      </c>
      <c r="AP6" s="1">
        <f>IF(AU2=3,3,IF(AU2=2,2,IF(AU2=1,1,IF(AU2=0,0,""))))</f>
        <v>0</v>
      </c>
      <c r="AQ6" s="1" t="e">
        <f>IF(AU3=3,3,IF(AU3=2,2,IF(AU3=1,1,IF(AU3=0,0,""))))</f>
        <v>#N/A</v>
      </c>
      <c r="AR6" s="1" t="e">
        <f>AP6+AQ6</f>
        <v>#N/A</v>
      </c>
      <c r="AS6" s="206"/>
      <c r="AT6" s="20"/>
    </row>
    <row r="7" spans="2:48" ht="15.75" thickBot="1" x14ac:dyDescent="0.3">
      <c r="B7" s="15" t="e">
        <f>'Calc Feuille de résultats'!C25</f>
        <v>#N/A</v>
      </c>
      <c r="C7" s="1">
        <f>'Calc Feuille de résultats'!D25</f>
        <v>0</v>
      </c>
      <c r="D7" s="1" t="str">
        <f>'Calc Feuille de résultats'!E25</f>
        <v/>
      </c>
      <c r="E7" s="1">
        <f>'Calc Feuille de résultats'!F25</f>
        <v>0</v>
      </c>
      <c r="F7" s="1">
        <f>'Calc Feuille de résultats'!G25</f>
        <v>0</v>
      </c>
      <c r="G7" s="206">
        <f>'Calc Feuille de résultats'!H25</f>
        <v>0</v>
      </c>
      <c r="H7" s="1">
        <f>'Calc Feuille de résultats'!L25</f>
        <v>0</v>
      </c>
      <c r="I7" s="212" t="s">
        <v>344</v>
      </c>
      <c r="J7" s="1" t="str">
        <f>IF(O3=3,3,IF(O3=2,2,IF(O3=1,1,IF(O3=0,0,""))))</f>
        <v/>
      </c>
      <c r="K7" s="1">
        <f>IF(O4=3,3,IF(O4=2,2,IF(O4=1,1,IF(O4=0,0,""))))</f>
        <v>0</v>
      </c>
      <c r="L7" s="1" t="e">
        <f>J7+K7</f>
        <v>#VALUE!</v>
      </c>
      <c r="N7" s="206"/>
      <c r="R7" s="17" t="e">
        <f t="shared" si="1"/>
        <v>#N/A</v>
      </c>
      <c r="S7" s="18">
        <f t="shared" si="2"/>
        <v>0</v>
      </c>
      <c r="T7" s="18" t="str">
        <f t="shared" si="3"/>
        <v/>
      </c>
      <c r="U7" s="18">
        <f t="shared" si="4"/>
        <v>0</v>
      </c>
      <c r="V7" s="207">
        <f t="shared" si="5"/>
        <v>0</v>
      </c>
      <c r="W7" s="207">
        <f t="shared" si="16"/>
        <v>0</v>
      </c>
      <c r="X7" s="19">
        <f t="shared" si="6"/>
        <v>0</v>
      </c>
      <c r="Y7" s="212" t="s">
        <v>344</v>
      </c>
      <c r="Z7" s="1" t="e">
        <f>IF(AE3=3,3,IF(AE3=2,2,IF(AE3=1,1,IF(AE3=0,0,""))))</f>
        <v>#N/A</v>
      </c>
      <c r="AA7" s="1">
        <f>IF(AE4=3,3,IF(AE4=2,2,IF(AE4=1,1,IF(AE4=0,0,""))))</f>
        <v>0</v>
      </c>
      <c r="AB7" s="1" t="e">
        <f>Z7+AA7</f>
        <v>#N/A</v>
      </c>
      <c r="AC7" s="206"/>
      <c r="AD7" s="206"/>
      <c r="AH7" s="17" t="e">
        <f t="shared" si="8"/>
        <v>#N/A</v>
      </c>
      <c r="AI7" s="18">
        <f t="shared" si="9"/>
        <v>0</v>
      </c>
      <c r="AJ7" s="18" t="str">
        <f t="shared" si="10"/>
        <v/>
      </c>
      <c r="AK7" s="18">
        <f t="shared" si="11"/>
        <v>0</v>
      </c>
      <c r="AL7" s="22">
        <f t="shared" si="12"/>
        <v>0</v>
      </c>
      <c r="AM7" s="22">
        <f t="shared" si="13"/>
        <v>0</v>
      </c>
      <c r="AN7" s="19">
        <f t="shared" si="14"/>
        <v>0</v>
      </c>
      <c r="AO7" s="212" t="s">
        <v>344</v>
      </c>
      <c r="AP7" s="1" t="e">
        <f>IF(AU3=3,3,IF(AU3=2,2,IF(AU3=1,1,IF(AU3=0,0,""))))</f>
        <v>#N/A</v>
      </c>
      <c r="AQ7" s="1">
        <f>IF(AU4=3,3,IF(AU4=2,2,IF(AU4=1,1,IF(AU4=0,0,""))))</f>
        <v>0</v>
      </c>
      <c r="AR7" s="1" t="e">
        <f>AP7+AQ7</f>
        <v>#N/A</v>
      </c>
      <c r="AS7" s="206"/>
      <c r="AT7" s="20"/>
    </row>
    <row r="8" spans="2:48" x14ac:dyDescent="0.25">
      <c r="B8" s="12" t="e">
        <f>'Calc Feuille de résultats'!N6</f>
        <v>#N/A</v>
      </c>
      <c r="C8" s="13">
        <f>'Calc Feuille de résultats'!O6</f>
        <v>0</v>
      </c>
      <c r="D8" s="13" t="str">
        <f>'Calc Feuille de résultats'!P6</f>
        <v/>
      </c>
      <c r="E8" s="13">
        <f>'Calc Feuille de résultats'!Q6</f>
        <v>0</v>
      </c>
      <c r="F8" s="13">
        <f>'Calc Feuille de résultats'!R6</f>
        <v>0</v>
      </c>
      <c r="G8" s="13">
        <f>'Calc Feuille de résultats'!S6</f>
        <v>0</v>
      </c>
      <c r="H8" s="14">
        <f>'Calc Feuille de résultats'!W6</f>
        <v>0</v>
      </c>
      <c r="I8" s="23" t="e">
        <f t="shared" ref="I8:N8" si="18">B3</f>
        <v>#N/A</v>
      </c>
      <c r="J8" s="1">
        <f t="shared" si="18"/>
        <v>0</v>
      </c>
      <c r="K8" s="1" t="str">
        <f t="shared" si="18"/>
        <v/>
      </c>
      <c r="L8" s="1">
        <f t="shared" si="18"/>
        <v>0</v>
      </c>
      <c r="M8" s="206">
        <f t="shared" si="18"/>
        <v>0</v>
      </c>
      <c r="N8" s="206">
        <f t="shared" si="18"/>
        <v>0</v>
      </c>
      <c r="O8" s="206">
        <f>H3</f>
        <v>0</v>
      </c>
      <c r="P8" s="1" t="e">
        <f>IF(AND(J8="",J9=""),"",IF(O8&gt;1,2,1))</f>
        <v>#N/A</v>
      </c>
      <c r="R8" s="12" t="e">
        <f t="shared" si="1"/>
        <v>#N/A</v>
      </c>
      <c r="S8" s="13">
        <f t="shared" si="2"/>
        <v>0</v>
      </c>
      <c r="T8" s="13" t="str">
        <f t="shared" si="3"/>
        <v/>
      </c>
      <c r="U8" s="13">
        <f t="shared" si="4"/>
        <v>0</v>
      </c>
      <c r="V8" s="205">
        <f t="shared" si="5"/>
        <v>0</v>
      </c>
      <c r="W8" s="205">
        <f t="shared" si="16"/>
        <v>0</v>
      </c>
      <c r="X8" s="14">
        <f t="shared" si="6"/>
        <v>0</v>
      </c>
      <c r="Y8" s="23" t="e">
        <f t="shared" ref="Y8:AD8" si="19">R3</f>
        <v>#N/A</v>
      </c>
      <c r="Z8" s="1">
        <f t="shared" si="19"/>
        <v>0</v>
      </c>
      <c r="AA8" s="1" t="str">
        <f t="shared" si="19"/>
        <v/>
      </c>
      <c r="AB8" s="1">
        <f t="shared" si="19"/>
        <v>0</v>
      </c>
      <c r="AC8" s="206">
        <f t="shared" si="19"/>
        <v>0</v>
      </c>
      <c r="AD8" s="206">
        <f t="shared" si="19"/>
        <v>0</v>
      </c>
      <c r="AE8" s="1">
        <f>IF(Z8=0,0,X3)</f>
        <v>0</v>
      </c>
      <c r="AF8" s="1" t="e">
        <f>IF(AND(Z8="",Z9=""),"",IF(AE8&gt;1,2,1))</f>
        <v>#N/A</v>
      </c>
      <c r="AH8" s="12" t="e">
        <f t="shared" si="8"/>
        <v>#N/A</v>
      </c>
      <c r="AI8" s="13">
        <f t="shared" si="9"/>
        <v>0</v>
      </c>
      <c r="AJ8" s="13" t="str">
        <f t="shared" si="10"/>
        <v/>
      </c>
      <c r="AK8" s="13">
        <f t="shared" si="11"/>
        <v>0</v>
      </c>
      <c r="AL8" s="21">
        <f t="shared" si="12"/>
        <v>0</v>
      </c>
      <c r="AM8" s="21">
        <f t="shared" si="13"/>
        <v>0</v>
      </c>
      <c r="AN8" s="14">
        <f t="shared" si="14"/>
        <v>0</v>
      </c>
      <c r="AO8" s="23" t="e">
        <f t="shared" ref="AO8:AU8" si="20">AH3</f>
        <v>#N/A</v>
      </c>
      <c r="AP8" s="1">
        <f t="shared" si="20"/>
        <v>0</v>
      </c>
      <c r="AQ8" s="1" t="str">
        <f t="shared" si="20"/>
        <v/>
      </c>
      <c r="AR8" s="1">
        <f t="shared" si="20"/>
        <v>0</v>
      </c>
      <c r="AS8" s="206">
        <f t="shared" si="20"/>
        <v>0</v>
      </c>
      <c r="AT8" s="1">
        <f t="shared" si="20"/>
        <v>0</v>
      </c>
      <c r="AU8" s="1">
        <f t="shared" si="20"/>
        <v>0</v>
      </c>
      <c r="AV8" s="1" t="e">
        <f>IF(AND(AP8="",AP9=""),"",IF(AU8&gt;1,2,1))</f>
        <v>#N/A</v>
      </c>
    </row>
    <row r="9" spans="2:48" x14ac:dyDescent="0.25">
      <c r="B9" s="15" t="e">
        <f>'Calc Feuille de résultats'!N7</f>
        <v>#N/A</v>
      </c>
      <c r="C9" s="1">
        <f>'Calc Feuille de résultats'!O7</f>
        <v>0</v>
      </c>
      <c r="D9" s="1" t="str">
        <f>'Calc Feuille de résultats'!P7</f>
        <v/>
      </c>
      <c r="E9" s="1">
        <f>'Calc Feuille de résultats'!Q7</f>
        <v>0</v>
      </c>
      <c r="F9" s="1">
        <f>'Calc Feuille de résultats'!R7</f>
        <v>0</v>
      </c>
      <c r="G9" s="1">
        <f>'Calc Feuille de résultats'!S7</f>
        <v>0</v>
      </c>
      <c r="H9" s="16">
        <f>'Calc Feuille de résultats'!W7</f>
        <v>0</v>
      </c>
      <c r="J9" s="1" t="e">
        <f>VLOOKUP($I$8,$B$4:$H$19,J$1,0)</f>
        <v>#N/A</v>
      </c>
      <c r="K9" s="1" t="e">
        <f>VLOOKUP($I$8,$B$4:$H$19,K$1,0)</f>
        <v>#N/A</v>
      </c>
      <c r="L9" s="1" t="e">
        <f>VLOOKUP($I$8,$B$4:$H$19,L$1,0)</f>
        <v>#N/A</v>
      </c>
      <c r="M9" s="206" t="e">
        <f>VLOOKUP($I$8,$B$4:$H$19,M$1,0)</f>
        <v>#N/A</v>
      </c>
      <c r="N9" s="206" t="str">
        <f>IFERROR(VLOOKUP($I$8,$B$4:$H$19,N$1,0),"")</f>
        <v/>
      </c>
      <c r="O9" s="206" t="str">
        <f>IFERROR(VLOOKUP($I$8,$B$4:$H$19,O$1,0),"")</f>
        <v/>
      </c>
      <c r="P9" s="1" t="e">
        <f>IF(AND(J9="",J10=""),"",IF(O9&gt;1,2,1))</f>
        <v>#N/A</v>
      </c>
      <c r="R9" s="15" t="e">
        <f t="shared" si="1"/>
        <v>#N/A</v>
      </c>
      <c r="S9" s="1">
        <f t="shared" si="2"/>
        <v>0</v>
      </c>
      <c r="T9" s="1" t="str">
        <f t="shared" si="3"/>
        <v/>
      </c>
      <c r="U9" s="1">
        <f t="shared" si="4"/>
        <v>0</v>
      </c>
      <c r="V9" s="206">
        <f t="shared" si="5"/>
        <v>0</v>
      </c>
      <c r="W9" s="206">
        <f>G15</f>
        <v>0</v>
      </c>
      <c r="X9" s="16">
        <f t="shared" si="6"/>
        <v>0</v>
      </c>
      <c r="Z9" s="1" t="e">
        <f>VLOOKUP($Y$8,$R$4:$X$19,Z$1,0)</f>
        <v>#N/A</v>
      </c>
      <c r="AA9" s="1" t="e">
        <f>VLOOKUP($Y$8,$R$4:$X$19,AA$1,0)</f>
        <v>#N/A</v>
      </c>
      <c r="AB9" s="1" t="e">
        <f>VLOOKUP($Y$8,$R$4:$X$19,AB$1,0)</f>
        <v>#N/A</v>
      </c>
      <c r="AC9" s="206" t="e">
        <f>VLOOKUP($Y$8,$R$4:$X$19,AC$1,0)</f>
        <v>#N/A</v>
      </c>
      <c r="AD9" s="206" t="str">
        <f>IFERROR(VLOOKUP($Y$8,$R$4:$X$19,AD$1,0),"")</f>
        <v/>
      </c>
      <c r="AE9" s="1" t="e">
        <f>IF(OR(AA9=0,AA9=""),0,VLOOKUP($Y$8,$R$4:$X$19,AE$1,0))</f>
        <v>#N/A</v>
      </c>
      <c r="AF9" s="1" t="e">
        <f>IF(AND(Z9="",Z10=""),"",IF(AE9&gt;1,2,1))</f>
        <v>#N/A</v>
      </c>
      <c r="AH9" s="15" t="e">
        <f t="shared" si="8"/>
        <v>#N/A</v>
      </c>
      <c r="AI9" s="1">
        <f t="shared" si="9"/>
        <v>0</v>
      </c>
      <c r="AJ9" s="1" t="str">
        <f t="shared" si="10"/>
        <v/>
      </c>
      <c r="AK9" s="1">
        <f t="shared" si="11"/>
        <v>0</v>
      </c>
      <c r="AL9" s="20">
        <f t="shared" si="12"/>
        <v>0</v>
      </c>
      <c r="AM9" s="20">
        <f t="shared" si="13"/>
        <v>0</v>
      </c>
      <c r="AN9" s="16">
        <f t="shared" si="14"/>
        <v>0</v>
      </c>
      <c r="AP9" s="1" t="e">
        <f t="shared" ref="AP9:AU9" si="21">VLOOKUP($AO$8,$AH$4:$AN$19,AP$1,0)</f>
        <v>#N/A</v>
      </c>
      <c r="AQ9" s="1" t="e">
        <f t="shared" si="21"/>
        <v>#N/A</v>
      </c>
      <c r="AR9" s="1" t="e">
        <f t="shared" si="21"/>
        <v>#N/A</v>
      </c>
      <c r="AS9" s="206" t="e">
        <f t="shared" si="21"/>
        <v>#N/A</v>
      </c>
      <c r="AT9" s="1" t="e">
        <f t="shared" si="21"/>
        <v>#N/A</v>
      </c>
      <c r="AU9" s="1" t="e">
        <f t="shared" si="21"/>
        <v>#N/A</v>
      </c>
      <c r="AV9" s="1" t="e">
        <f>IF(AND(AP9="",AP10=""),"",IF(AU9&gt;1,2,1))</f>
        <v>#N/A</v>
      </c>
    </row>
    <row r="10" spans="2:48" x14ac:dyDescent="0.25">
      <c r="B10" s="15" t="e">
        <f>'Calc Feuille de résultats'!N15</f>
        <v>#N/A</v>
      </c>
      <c r="C10" s="1">
        <f>'Calc Feuille de résultats'!O15</f>
        <v>0</v>
      </c>
      <c r="D10" s="1" t="str">
        <f>'Calc Feuille de résultats'!P15</f>
        <v/>
      </c>
      <c r="E10" s="1">
        <f>'Calc Feuille de résultats'!Q15</f>
        <v>0</v>
      </c>
      <c r="F10" s="1">
        <f>'Calc Feuille de résultats'!R15</f>
        <v>0</v>
      </c>
      <c r="G10" s="1">
        <f>'Calc Feuille de résultats'!S15</f>
        <v>0</v>
      </c>
      <c r="H10" s="16">
        <f>'Calc Feuille de résultats'!W15</f>
        <v>0</v>
      </c>
      <c r="M10" s="206"/>
      <c r="N10" s="206"/>
      <c r="R10" s="15" t="e">
        <f t="shared" si="1"/>
        <v>#N/A</v>
      </c>
      <c r="S10" s="1">
        <f t="shared" si="2"/>
        <v>0</v>
      </c>
      <c r="T10" s="1" t="str">
        <f t="shared" si="3"/>
        <v/>
      </c>
      <c r="U10" s="1">
        <f t="shared" si="4"/>
        <v>0</v>
      </c>
      <c r="V10" s="206">
        <f t="shared" si="5"/>
        <v>0</v>
      </c>
      <c r="W10" s="206">
        <f t="shared" si="16"/>
        <v>0</v>
      </c>
      <c r="X10" s="16">
        <f t="shared" si="6"/>
        <v>0</v>
      </c>
      <c r="AC10" s="206"/>
      <c r="AD10" s="206"/>
      <c r="AH10" s="15" t="e">
        <f t="shared" si="8"/>
        <v>#N/A</v>
      </c>
      <c r="AI10" s="1">
        <f t="shared" si="9"/>
        <v>0</v>
      </c>
      <c r="AJ10" s="1" t="str">
        <f t="shared" si="10"/>
        <v/>
      </c>
      <c r="AK10" s="1">
        <f t="shared" si="11"/>
        <v>0</v>
      </c>
      <c r="AL10" s="20">
        <f t="shared" si="12"/>
        <v>0</v>
      </c>
      <c r="AM10" s="20">
        <f t="shared" si="13"/>
        <v>0</v>
      </c>
      <c r="AN10" s="16">
        <f t="shared" si="14"/>
        <v>0</v>
      </c>
      <c r="AS10" s="206"/>
    </row>
    <row r="11" spans="2:48" x14ac:dyDescent="0.25">
      <c r="B11" s="15" t="e">
        <f>'Calc Feuille de résultats'!N16</f>
        <v>#N/A</v>
      </c>
      <c r="C11" s="1">
        <f>'Calc Feuille de résultats'!O16</f>
        <v>0</v>
      </c>
      <c r="D11" s="1" t="str">
        <f>'Calc Feuille de résultats'!P16</f>
        <v/>
      </c>
      <c r="E11" s="1">
        <f>'Calc Feuille de résultats'!Q16</f>
        <v>0</v>
      </c>
      <c r="F11" s="1">
        <f>'Calc Feuille de résultats'!R16</f>
        <v>0</v>
      </c>
      <c r="G11" s="1">
        <f>'Calc Feuille de résultats'!S16</f>
        <v>0</v>
      </c>
      <c r="H11" s="16">
        <f>'Calc Feuille de résultats'!W16</f>
        <v>0</v>
      </c>
      <c r="I11" s="1" t="e">
        <f>I8</f>
        <v>#N/A</v>
      </c>
      <c r="J11" s="1" t="e">
        <f>SUM(J8:J9)</f>
        <v>#N/A</v>
      </c>
      <c r="K11" s="1" t="e">
        <f>SUM(K8:K9)</f>
        <v>#N/A</v>
      </c>
      <c r="L11" s="1" t="e">
        <f>MAX(L8:L9)</f>
        <v>#N/A</v>
      </c>
      <c r="M11" s="206" t="e">
        <f>SUM(M8:M9)</f>
        <v>#N/A</v>
      </c>
      <c r="N11" s="206">
        <f>SUM(N8:N9)</f>
        <v>0</v>
      </c>
      <c r="O11" s="1">
        <f>SUM(O8:O10)</f>
        <v>0</v>
      </c>
      <c r="P11" s="1" t="e">
        <f>SUM(P8:P10)</f>
        <v>#N/A</v>
      </c>
      <c r="R11" s="15" t="e">
        <f t="shared" si="1"/>
        <v>#N/A</v>
      </c>
      <c r="S11" s="1">
        <f t="shared" si="2"/>
        <v>0</v>
      </c>
      <c r="T11" s="1" t="str">
        <f t="shared" si="3"/>
        <v/>
      </c>
      <c r="U11" s="1">
        <f t="shared" si="4"/>
        <v>0</v>
      </c>
      <c r="V11" s="206">
        <f t="shared" si="5"/>
        <v>0</v>
      </c>
      <c r="W11" s="206">
        <f t="shared" si="16"/>
        <v>0</v>
      </c>
      <c r="X11" s="16">
        <f t="shared" si="6"/>
        <v>0</v>
      </c>
      <c r="Y11" s="1" t="e">
        <f>Y8</f>
        <v>#N/A</v>
      </c>
      <c r="Z11" s="1" t="e">
        <f>SUM(Z8:Z9)</f>
        <v>#N/A</v>
      </c>
      <c r="AA11" s="1" t="e">
        <f>SUM(AA8:AA9)</f>
        <v>#N/A</v>
      </c>
      <c r="AB11" s="1" t="e">
        <f>MAX(AB8:AB9)</f>
        <v>#N/A</v>
      </c>
      <c r="AC11" s="206" t="e">
        <f>SUM(AC8:AC9)</f>
        <v>#N/A</v>
      </c>
      <c r="AD11" s="206">
        <f>SUM(AD8:AD9)</f>
        <v>0</v>
      </c>
      <c r="AE11" s="1" t="e">
        <f>SUM(AE8:AE10)</f>
        <v>#N/A</v>
      </c>
      <c r="AF11" s="1" t="e">
        <f>SUM(AF8:AF10)</f>
        <v>#N/A</v>
      </c>
      <c r="AH11" s="15" t="e">
        <f t="shared" si="8"/>
        <v>#N/A</v>
      </c>
      <c r="AI11" s="1">
        <f t="shared" si="9"/>
        <v>0</v>
      </c>
      <c r="AJ11" s="1" t="str">
        <f t="shared" si="10"/>
        <v/>
      </c>
      <c r="AK11" s="1">
        <f t="shared" si="11"/>
        <v>0</v>
      </c>
      <c r="AL11" s="20">
        <f t="shared" si="12"/>
        <v>0</v>
      </c>
      <c r="AM11" s="20">
        <f t="shared" si="13"/>
        <v>0</v>
      </c>
      <c r="AN11" s="16">
        <f t="shared" si="14"/>
        <v>0</v>
      </c>
      <c r="AO11" s="1" t="e">
        <f>AO8</f>
        <v>#N/A</v>
      </c>
      <c r="AP11" s="1" t="e">
        <f>SUM(AP8:AP9)</f>
        <v>#N/A</v>
      </c>
      <c r="AQ11" s="1" t="e">
        <f>SUM(AQ8:AQ9)</f>
        <v>#N/A</v>
      </c>
      <c r="AR11" s="1" t="e">
        <f>MAX(AR8:AR9)</f>
        <v>#N/A</v>
      </c>
      <c r="AS11" s="206" t="e">
        <f>SUM(AS8:AS9)</f>
        <v>#N/A</v>
      </c>
      <c r="AT11" s="206" t="e">
        <f>SUM(AT8:AT9)</f>
        <v>#N/A</v>
      </c>
      <c r="AU11" s="1" t="e">
        <f>SUM(AU8:AU10)</f>
        <v>#N/A</v>
      </c>
      <c r="AV11" s="1" t="e">
        <f>SUM(AV8:AV10)</f>
        <v>#N/A</v>
      </c>
    </row>
    <row r="12" spans="2:48" x14ac:dyDescent="0.25">
      <c r="B12" s="15" t="e">
        <f>'Calc Feuille de résultats'!N24</f>
        <v>#N/A</v>
      </c>
      <c r="C12" s="1">
        <f>'Calc Feuille de résultats'!O24</f>
        <v>0</v>
      </c>
      <c r="D12" s="1" t="str">
        <f>'Calc Feuille de résultats'!P24</f>
        <v/>
      </c>
      <c r="E12" s="1">
        <f>'Calc Feuille de résultats'!Q24</f>
        <v>0</v>
      </c>
      <c r="F12" s="1">
        <f>'Calc Feuille de résultats'!R24</f>
        <v>0</v>
      </c>
      <c r="G12" s="1">
        <f>'Calc Feuille de résultats'!S24</f>
        <v>0</v>
      </c>
      <c r="H12" s="16">
        <f>'Calc Feuille de résultats'!W24</f>
        <v>0</v>
      </c>
      <c r="I12" s="212" t="s">
        <v>343</v>
      </c>
      <c r="J12" s="1">
        <f>IF(O8=3,3,IF(O8=2,2,IF(O8=1,1,IF(O8=0,0,""))))</f>
        <v>0</v>
      </c>
      <c r="K12" s="1" t="str">
        <f>IF(O9=3,3,IF(O9=2,2,IF(O9=1,1,IF(O9=0,0,""))))</f>
        <v/>
      </c>
      <c r="L12" s="1" t="e">
        <f>J12+K12</f>
        <v>#VALUE!</v>
      </c>
      <c r="M12" s="206"/>
      <c r="N12" s="206"/>
      <c r="R12" s="15" t="e">
        <f t="shared" si="1"/>
        <v>#N/A</v>
      </c>
      <c r="S12" s="1">
        <f t="shared" si="2"/>
        <v>0</v>
      </c>
      <c r="T12" s="1" t="str">
        <f t="shared" si="3"/>
        <v/>
      </c>
      <c r="U12" s="1">
        <f t="shared" si="4"/>
        <v>0</v>
      </c>
      <c r="V12" s="206">
        <f t="shared" si="5"/>
        <v>0</v>
      </c>
      <c r="W12" s="206">
        <f t="shared" si="16"/>
        <v>0</v>
      </c>
      <c r="X12" s="16">
        <f t="shared" si="6"/>
        <v>0</v>
      </c>
      <c r="Y12" s="212" t="s">
        <v>343</v>
      </c>
      <c r="Z12" s="1">
        <f>IF(AE8=3,3,IF(AE8=2,2,IF(AE8=1,1,IF(AE8=0,0,""))))</f>
        <v>0</v>
      </c>
      <c r="AA12" s="1" t="e">
        <f>IF(AE9=3,3,IF(AE9=2,2,IF(AE9=1,1,IF(AE9=0,0,""))))</f>
        <v>#N/A</v>
      </c>
      <c r="AB12" s="1" t="e">
        <f>Z12+AA12</f>
        <v>#N/A</v>
      </c>
      <c r="AC12" s="206"/>
      <c r="AD12" s="206"/>
      <c r="AH12" s="15" t="e">
        <f t="shared" si="8"/>
        <v>#N/A</v>
      </c>
      <c r="AI12" s="1">
        <f t="shared" si="9"/>
        <v>0</v>
      </c>
      <c r="AJ12" s="1" t="str">
        <f t="shared" si="10"/>
        <v/>
      </c>
      <c r="AK12" s="1">
        <f t="shared" si="11"/>
        <v>0</v>
      </c>
      <c r="AL12" s="20">
        <f t="shared" si="12"/>
        <v>0</v>
      </c>
      <c r="AM12" s="20">
        <f t="shared" si="13"/>
        <v>0</v>
      </c>
      <c r="AN12" s="16">
        <f t="shared" si="14"/>
        <v>0</v>
      </c>
      <c r="AO12" s="212" t="s">
        <v>343</v>
      </c>
      <c r="AP12" s="1">
        <f>IF(AU8=3,3,IF(AU8=2,2,IF(AU8=1,1,IF(AU8=0,0,""))))</f>
        <v>0</v>
      </c>
      <c r="AQ12" s="1" t="e">
        <f>IF(AU9=3,3,IF(AU9=2,2,IF(AU9=1,1,IF(AU9=0,0,""))))</f>
        <v>#N/A</v>
      </c>
      <c r="AR12" s="1" t="e">
        <f>AP12+AQ12</f>
        <v>#N/A</v>
      </c>
      <c r="AS12" s="206"/>
      <c r="AT12" s="20"/>
    </row>
    <row r="13" spans="2:48" ht="15.75" thickBot="1" x14ac:dyDescent="0.3">
      <c r="B13" s="15" t="e">
        <f>'Calc Feuille de résultats'!N25</f>
        <v>#N/A</v>
      </c>
      <c r="C13" s="1">
        <f>'Calc Feuille de résultats'!O25</f>
        <v>0</v>
      </c>
      <c r="D13" s="1" t="str">
        <f>'Calc Feuille de résultats'!P25</f>
        <v/>
      </c>
      <c r="E13" s="1">
        <f>'Calc Feuille de résultats'!Q25</f>
        <v>0</v>
      </c>
      <c r="F13" s="1">
        <f>'Calc Feuille de résultats'!R25</f>
        <v>0</v>
      </c>
      <c r="G13" s="1">
        <f>'Calc Feuille de résultats'!S25</f>
        <v>0</v>
      </c>
      <c r="H13" s="16">
        <f>'Calc Feuille de résultats'!W25</f>
        <v>0</v>
      </c>
      <c r="I13" s="212" t="s">
        <v>344</v>
      </c>
      <c r="J13" s="1" t="str">
        <f>IF(O9=3,3,IF(O9=2,2,IF(O9=1,1,IF(O9=0,0,""))))</f>
        <v/>
      </c>
      <c r="K13" s="1">
        <f>IF(O10=3,3,IF(O10=2,2,IF(O10=1,1,IF(O10=0,0,""))))</f>
        <v>0</v>
      </c>
      <c r="L13" s="1" t="e">
        <f>J13+K13</f>
        <v>#VALUE!</v>
      </c>
      <c r="M13" s="206"/>
      <c r="N13" s="206"/>
      <c r="R13" s="17" t="e">
        <f t="shared" si="1"/>
        <v>#N/A</v>
      </c>
      <c r="S13" s="18">
        <f t="shared" si="2"/>
        <v>0</v>
      </c>
      <c r="T13" s="18" t="str">
        <f t="shared" si="3"/>
        <v/>
      </c>
      <c r="U13" s="18">
        <f t="shared" si="4"/>
        <v>0</v>
      </c>
      <c r="V13" s="207">
        <f t="shared" si="5"/>
        <v>0</v>
      </c>
      <c r="W13" s="207">
        <f t="shared" si="16"/>
        <v>0</v>
      </c>
      <c r="X13" s="19">
        <f t="shared" si="6"/>
        <v>0</v>
      </c>
      <c r="Y13" s="212" t="s">
        <v>344</v>
      </c>
      <c r="Z13" s="1" t="e">
        <f>IF(AE9=3,3,IF(AE9=2,2,IF(AE9=1,1,IF(AE9=0,0,""))))</f>
        <v>#N/A</v>
      </c>
      <c r="AA13" s="1">
        <f>IF(AE10=3,3,IF(AE10=2,2,IF(AE10=1,1,IF(AE10=0,0,""))))</f>
        <v>0</v>
      </c>
      <c r="AB13" s="1" t="e">
        <f>Z13+AA13</f>
        <v>#N/A</v>
      </c>
      <c r="AC13" s="206"/>
      <c r="AD13" s="206"/>
      <c r="AH13" s="17" t="e">
        <f t="shared" si="8"/>
        <v>#N/A</v>
      </c>
      <c r="AI13" s="18">
        <f t="shared" si="9"/>
        <v>0</v>
      </c>
      <c r="AJ13" s="18" t="str">
        <f t="shared" si="10"/>
        <v/>
      </c>
      <c r="AK13" s="18">
        <f t="shared" si="11"/>
        <v>0</v>
      </c>
      <c r="AL13" s="22">
        <f t="shared" si="12"/>
        <v>0</v>
      </c>
      <c r="AM13" s="22">
        <f t="shared" si="13"/>
        <v>0</v>
      </c>
      <c r="AN13" s="19">
        <f t="shared" si="14"/>
        <v>0</v>
      </c>
      <c r="AO13" s="212" t="s">
        <v>344</v>
      </c>
      <c r="AP13" s="1" t="e">
        <f>IF(AU9=3,3,IF(AU9=2,2,IF(AU9=1,1,IF(AU9=0,0,""))))</f>
        <v>#N/A</v>
      </c>
      <c r="AQ13" s="1">
        <f>IF(AU10=3,3,IF(AU10=2,2,IF(AU10=1,1,IF(AU10=0,0,""))))</f>
        <v>0</v>
      </c>
      <c r="AR13" s="1" t="e">
        <f>AP13+AQ13</f>
        <v>#N/A</v>
      </c>
      <c r="AS13" s="206"/>
      <c r="AT13" s="20"/>
    </row>
    <row r="14" spans="2:48" x14ac:dyDescent="0.25">
      <c r="B14" s="12" t="e">
        <f>'Calc Feuille de résultats'!Z6</f>
        <v>#N/A</v>
      </c>
      <c r="C14" s="13">
        <f>'Calc Feuille de résultats'!AA6</f>
        <v>0</v>
      </c>
      <c r="D14" s="13" t="str">
        <f>'Calc Feuille de résultats'!AB6</f>
        <v/>
      </c>
      <c r="E14" s="13">
        <f>'Calc Feuille de résultats'!AC6</f>
        <v>0</v>
      </c>
      <c r="F14" s="13">
        <f>'Calc Feuille de résultats'!AD6</f>
        <v>0</v>
      </c>
      <c r="G14" s="13">
        <f>'Calc Feuille de résultats'!AE6</f>
        <v>0</v>
      </c>
      <c r="H14" s="13">
        <f>'Calc Feuille de résultats'!AI6</f>
        <v>0</v>
      </c>
      <c r="I14" s="23" t="e">
        <f>IF(OR(B4=B3,B4=B2),"",B4)</f>
        <v>#N/A</v>
      </c>
      <c r="J14" s="1" t="e">
        <f>IF($I$14="","",C4)</f>
        <v>#N/A</v>
      </c>
      <c r="K14" s="1" t="e">
        <f>IF($I$14="","",D4)</f>
        <v>#N/A</v>
      </c>
      <c r="L14" s="1" t="e">
        <f>IF($I$14="","",E4)</f>
        <v>#N/A</v>
      </c>
      <c r="M14" s="206" t="e">
        <f>IF($I$14="","",F4)</f>
        <v>#N/A</v>
      </c>
      <c r="N14" s="206" t="e">
        <f>IF($I$14="","",IFERROR(G4,""))</f>
        <v>#N/A</v>
      </c>
      <c r="O14" s="206" t="e">
        <f>IF($I$14="","",IFERROR(H4,""))</f>
        <v>#N/A</v>
      </c>
      <c r="P14" s="1" t="e">
        <f>IF(AND(J14="",J15=""),"",IF(O14&gt;1,2,1))</f>
        <v>#N/A</v>
      </c>
      <c r="R14" s="12" t="e">
        <f t="shared" ref="R14:X19" si="22">B2</f>
        <v>#N/A</v>
      </c>
      <c r="S14" s="13">
        <f t="shared" si="22"/>
        <v>0</v>
      </c>
      <c r="T14" s="13" t="str">
        <f t="shared" si="22"/>
        <v/>
      </c>
      <c r="U14" s="13">
        <f t="shared" si="22"/>
        <v>0</v>
      </c>
      <c r="V14" s="205">
        <f t="shared" si="22"/>
        <v>0</v>
      </c>
      <c r="W14" s="205">
        <f t="shared" si="22"/>
        <v>0</v>
      </c>
      <c r="X14" s="14">
        <f t="shared" si="22"/>
        <v>0</v>
      </c>
      <c r="Y14" s="23" t="e">
        <f>IF(OR(R4=R3,R4=R2),"",R4)</f>
        <v>#N/A</v>
      </c>
      <c r="Z14" s="1" t="e">
        <f>IF($Y$14="","",S4)</f>
        <v>#N/A</v>
      </c>
      <c r="AA14" s="1" t="e">
        <f>IF($Y$14="","",T4)</f>
        <v>#N/A</v>
      </c>
      <c r="AB14" s="1" t="e">
        <f>IF($Y$14="","",U4)</f>
        <v>#N/A</v>
      </c>
      <c r="AC14" s="206" t="e">
        <f>IF($Y$14="","",V4)</f>
        <v>#N/A</v>
      </c>
      <c r="AD14" s="206" t="e">
        <f>IF($Y$14="","",IFERROR(W4,""))</f>
        <v>#N/A</v>
      </c>
      <c r="AE14" s="1" t="e">
        <f>IF(OR(AA14=0,AA14=""),0,VLOOKUP($Y$14,$R$4:$X$19,AE$1,0))</f>
        <v>#N/A</v>
      </c>
      <c r="AF14" s="1" t="e">
        <f>IF(AND(Z14="",Z15=""),"",IF(AE14&gt;1,2,1))</f>
        <v>#N/A</v>
      </c>
      <c r="AH14" s="12" t="e">
        <f t="shared" ref="AH14:AN19" si="23">R2</f>
        <v>#N/A</v>
      </c>
      <c r="AI14" s="13">
        <f t="shared" si="23"/>
        <v>0</v>
      </c>
      <c r="AJ14" s="13" t="str">
        <f t="shared" si="23"/>
        <v/>
      </c>
      <c r="AK14" s="13">
        <f t="shared" si="23"/>
        <v>0</v>
      </c>
      <c r="AL14" s="21">
        <f t="shared" si="23"/>
        <v>0</v>
      </c>
      <c r="AM14" s="21">
        <f t="shared" si="23"/>
        <v>0</v>
      </c>
      <c r="AN14" s="14">
        <f t="shared" si="23"/>
        <v>0</v>
      </c>
      <c r="AO14" s="23" t="e">
        <f>IF(OR(AH4=AH3,AH4=AH2),"",AH4)</f>
        <v>#N/A</v>
      </c>
      <c r="AP14" s="1" t="e">
        <f t="shared" ref="AP14:AU14" si="24">IF($AO$14="","",AI4)</f>
        <v>#N/A</v>
      </c>
      <c r="AQ14" s="1" t="e">
        <f t="shared" si="24"/>
        <v>#N/A</v>
      </c>
      <c r="AR14" s="1" t="e">
        <f t="shared" si="24"/>
        <v>#N/A</v>
      </c>
      <c r="AS14" s="206" t="e">
        <f t="shared" si="24"/>
        <v>#N/A</v>
      </c>
      <c r="AT14" s="1" t="e">
        <f t="shared" si="24"/>
        <v>#N/A</v>
      </c>
      <c r="AU14" s="1" t="e">
        <f t="shared" si="24"/>
        <v>#N/A</v>
      </c>
      <c r="AV14" s="1" t="e">
        <f>IF(AND(AP14="",AP15=""),"",IF(AU14&gt;1,2,1))</f>
        <v>#N/A</v>
      </c>
    </row>
    <row r="15" spans="2:48" x14ac:dyDescent="0.25">
      <c r="B15" s="15" t="e">
        <f>'Calc Feuille de résultats'!Z7</f>
        <v>#N/A</v>
      </c>
      <c r="C15" s="1">
        <f>'Calc Feuille de résultats'!AA7</f>
        <v>0</v>
      </c>
      <c r="D15" s="1" t="str">
        <f>'Calc Feuille de résultats'!AB7</f>
        <v/>
      </c>
      <c r="E15" s="1">
        <f>'Calc Feuille de résultats'!AC7</f>
        <v>0</v>
      </c>
      <c r="F15" s="1">
        <f>'Calc Feuille de résultats'!AD7</f>
        <v>0</v>
      </c>
      <c r="G15" s="1">
        <f>'Calc Feuille de résultats'!AE7</f>
        <v>0</v>
      </c>
      <c r="H15" s="1">
        <f>'Calc Feuille de résultats'!AI7</f>
        <v>0</v>
      </c>
      <c r="J15" s="1" t="e">
        <f>IF(J14="","",VLOOKUP($I$14,$B$5:$H$19,J$1,0))</f>
        <v>#N/A</v>
      </c>
      <c r="K15" s="1" t="e">
        <f>IF(K14="","",VLOOKUP($I$14,$B$5:$H$19,K$1,0))</f>
        <v>#N/A</v>
      </c>
      <c r="L15" s="1" t="e">
        <f>IF(L14="","",VLOOKUP($I$14,$B$5:$H$19,L$1,0))</f>
        <v>#N/A</v>
      </c>
      <c r="M15" s="206" t="e">
        <f>IF(M14="","",VLOOKUP($I$14,$B$5:$H$19,M$1,0))</f>
        <v>#N/A</v>
      </c>
      <c r="N15" s="206" t="e">
        <f>IF(N14="","",IFERROR(VLOOKUP($I$14,$B$5:$H$19,N$1,0),""))</f>
        <v>#N/A</v>
      </c>
      <c r="O15" s="206" t="e">
        <f>IF(O14="","",IFERROR(VLOOKUP($I$14,$B$5:$H$19,O$1,0),""))</f>
        <v>#N/A</v>
      </c>
      <c r="P15" s="1" t="e">
        <f>IF(AND(J15="",J16=""),"",IF(O15&gt;1,2,1))</f>
        <v>#N/A</v>
      </c>
      <c r="R15" s="15" t="e">
        <f t="shared" si="22"/>
        <v>#N/A</v>
      </c>
      <c r="S15" s="1">
        <f t="shared" si="22"/>
        <v>0</v>
      </c>
      <c r="T15" s="1" t="str">
        <f t="shared" si="22"/>
        <v/>
      </c>
      <c r="U15" s="1">
        <f t="shared" si="22"/>
        <v>0</v>
      </c>
      <c r="V15" s="206">
        <f t="shared" si="22"/>
        <v>0</v>
      </c>
      <c r="W15" s="206">
        <f t="shared" si="22"/>
        <v>0</v>
      </c>
      <c r="X15" s="16">
        <f t="shared" si="22"/>
        <v>0</v>
      </c>
      <c r="Z15" s="1" t="e">
        <f>IF(Z14="","",VLOOKUP($Y$14,$R$5:$X$19,Z$1,0))</f>
        <v>#N/A</v>
      </c>
      <c r="AA15" s="1" t="e">
        <f>IF(AA14="","",VLOOKUP($Y$14,$R$5:$X$19,AA$1,0))</f>
        <v>#N/A</v>
      </c>
      <c r="AB15" s="1" t="e">
        <f>IF(AB14="","",VLOOKUP($Y$14,$R$5:$X$19,AB$1,0))</f>
        <v>#N/A</v>
      </c>
      <c r="AC15" s="206" t="e">
        <f>IF(AC14="","",VLOOKUP($Y$14,$R$5:$X$19,AC$1,0))</f>
        <v>#N/A</v>
      </c>
      <c r="AD15" s="206" t="e">
        <f>IF(AD14="","",IFERROR(VLOOKUP($Y$14,$R$5:$X$19,AD$1,0),""))</f>
        <v>#N/A</v>
      </c>
      <c r="AE15" s="1" t="e">
        <f>IF(OR(AA15=0,AA15=""),0,VLOOKUP($Y$14,$R$5:$X$19,AE$1,0))</f>
        <v>#N/A</v>
      </c>
      <c r="AF15" s="1" t="e">
        <f>IF(AND(Z15="",Z16=""),"",IF(AE15&gt;1,2,1))</f>
        <v>#N/A</v>
      </c>
      <c r="AH15" s="15" t="e">
        <f t="shared" si="23"/>
        <v>#N/A</v>
      </c>
      <c r="AI15" s="1">
        <f t="shared" si="23"/>
        <v>0</v>
      </c>
      <c r="AJ15" s="1" t="str">
        <f t="shared" si="23"/>
        <v/>
      </c>
      <c r="AK15" s="1">
        <f t="shared" si="23"/>
        <v>0</v>
      </c>
      <c r="AL15" s="20">
        <f t="shared" si="23"/>
        <v>0</v>
      </c>
      <c r="AM15" s="20">
        <f t="shared" si="23"/>
        <v>0</v>
      </c>
      <c r="AN15" s="16">
        <f t="shared" si="23"/>
        <v>0</v>
      </c>
      <c r="AP15" s="1" t="e">
        <f t="shared" ref="AP15:AU15" si="25">IF(AP14="","",VLOOKUP($AO$14,$AH$5:$AN$19,AP$1,0))</f>
        <v>#N/A</v>
      </c>
      <c r="AQ15" s="1" t="e">
        <f t="shared" si="25"/>
        <v>#N/A</v>
      </c>
      <c r="AR15" s="1" t="e">
        <f t="shared" si="25"/>
        <v>#N/A</v>
      </c>
      <c r="AS15" s="206" t="e">
        <f t="shared" si="25"/>
        <v>#N/A</v>
      </c>
      <c r="AT15" s="1" t="e">
        <f t="shared" si="25"/>
        <v>#N/A</v>
      </c>
      <c r="AU15" s="1" t="e">
        <f t="shared" si="25"/>
        <v>#N/A</v>
      </c>
      <c r="AV15" s="1" t="e">
        <f>IF(AND(AP15="",AP16=""),"",IF(AU15&gt;1,2,1))</f>
        <v>#N/A</v>
      </c>
    </row>
    <row r="16" spans="2:48" x14ac:dyDescent="0.25">
      <c r="B16" s="15" t="e">
        <f>'Calc Feuille de résultats'!Z15</f>
        <v>#N/A</v>
      </c>
      <c r="C16" s="1">
        <f>'Calc Feuille de résultats'!AA15</f>
        <v>0</v>
      </c>
      <c r="D16" s="1" t="str">
        <f>'Calc Feuille de résultats'!AB15</f>
        <v/>
      </c>
      <c r="E16" s="1">
        <f>'Calc Feuille de résultats'!AC15</f>
        <v>0</v>
      </c>
      <c r="F16" s="1">
        <f>'Calc Feuille de résultats'!AD15</f>
        <v>0</v>
      </c>
      <c r="G16" s="1">
        <f>'Calc Feuille de résultats'!AE15</f>
        <v>0</v>
      </c>
      <c r="H16" s="1">
        <f>'Calc Feuille de résultats'!AI15</f>
        <v>0</v>
      </c>
      <c r="M16" s="206"/>
      <c r="N16" s="206"/>
      <c r="R16" s="15" t="e">
        <f t="shared" si="22"/>
        <v>#N/A</v>
      </c>
      <c r="S16" s="1">
        <f t="shared" si="22"/>
        <v>0</v>
      </c>
      <c r="T16" s="1" t="str">
        <f t="shared" si="22"/>
        <v/>
      </c>
      <c r="U16" s="1">
        <f t="shared" si="22"/>
        <v>0</v>
      </c>
      <c r="V16" s="206">
        <f t="shared" si="22"/>
        <v>0</v>
      </c>
      <c r="W16" s="206">
        <f t="shared" si="22"/>
        <v>0</v>
      </c>
      <c r="X16" s="16">
        <f t="shared" si="22"/>
        <v>0</v>
      </c>
      <c r="AC16" s="206"/>
      <c r="AD16" s="206"/>
      <c r="AH16" s="15" t="e">
        <f t="shared" si="23"/>
        <v>#N/A</v>
      </c>
      <c r="AI16" s="1">
        <f t="shared" si="23"/>
        <v>0</v>
      </c>
      <c r="AJ16" s="1" t="str">
        <f t="shared" si="23"/>
        <v/>
      </c>
      <c r="AK16" s="1">
        <f t="shared" si="23"/>
        <v>0</v>
      </c>
      <c r="AL16" s="20">
        <f t="shared" si="23"/>
        <v>0</v>
      </c>
      <c r="AM16" s="20">
        <f t="shared" si="23"/>
        <v>0</v>
      </c>
      <c r="AN16" s="16">
        <f t="shared" si="23"/>
        <v>0</v>
      </c>
      <c r="AS16" s="206"/>
    </row>
    <row r="17" spans="2:48" x14ac:dyDescent="0.25">
      <c r="B17" s="15" t="e">
        <f>'Calc Feuille de résultats'!Z16</f>
        <v>#N/A</v>
      </c>
      <c r="C17" s="1">
        <f>'Calc Feuille de résultats'!AA16</f>
        <v>0</v>
      </c>
      <c r="D17" s="1" t="str">
        <f>'Calc Feuille de résultats'!AB16</f>
        <v/>
      </c>
      <c r="E17" s="1">
        <f>'Calc Feuille de résultats'!AC16</f>
        <v>0</v>
      </c>
      <c r="F17" s="1">
        <f>'Calc Feuille de résultats'!AD16</f>
        <v>0</v>
      </c>
      <c r="G17" s="1">
        <f>'Calc Feuille de résultats'!AE16</f>
        <v>0</v>
      </c>
      <c r="H17" s="1">
        <f>'Calc Feuille de résultats'!AI16</f>
        <v>0</v>
      </c>
      <c r="I17" s="1" t="e">
        <f>I14</f>
        <v>#N/A</v>
      </c>
      <c r="J17" s="1" t="e">
        <f>IF(I14="","",SUM(J14:J15))</f>
        <v>#N/A</v>
      </c>
      <c r="K17" s="1" t="e">
        <f>IF(I14="","",SUM(K14:K15))</f>
        <v>#N/A</v>
      </c>
      <c r="L17" s="1" t="e">
        <f>IF(I14="","",MAX(L14:L15))</f>
        <v>#N/A</v>
      </c>
      <c r="M17" s="206" t="e">
        <f>SUM(M14:M15)</f>
        <v>#N/A</v>
      </c>
      <c r="N17" s="206" t="e">
        <f>SUM(N14:N15)</f>
        <v>#N/A</v>
      </c>
      <c r="O17" s="1" t="e">
        <f>IF(I14="","",SUM(O14:O16))</f>
        <v>#N/A</v>
      </c>
      <c r="P17" s="1" t="e">
        <f>SUM(P14:P16)</f>
        <v>#N/A</v>
      </c>
      <c r="R17" s="15" t="e">
        <f t="shared" si="22"/>
        <v>#N/A</v>
      </c>
      <c r="S17" s="1">
        <f t="shared" si="22"/>
        <v>0</v>
      </c>
      <c r="T17" s="1" t="str">
        <f t="shared" si="22"/>
        <v/>
      </c>
      <c r="U17" s="1">
        <f t="shared" si="22"/>
        <v>0</v>
      </c>
      <c r="V17" s="206">
        <f t="shared" si="22"/>
        <v>0</v>
      </c>
      <c r="W17" s="206">
        <f t="shared" si="22"/>
        <v>0</v>
      </c>
      <c r="X17" s="16">
        <f t="shared" si="22"/>
        <v>0</v>
      </c>
      <c r="Y17" s="1" t="e">
        <f>Y14</f>
        <v>#N/A</v>
      </c>
      <c r="Z17" s="1" t="e">
        <f>IF(Y14="","",SUM(Z14:Z15))</f>
        <v>#N/A</v>
      </c>
      <c r="AA17" s="1" t="e">
        <f>IF(Y14="","",SUM(AA14:AA15))</f>
        <v>#N/A</v>
      </c>
      <c r="AB17" s="1" t="e">
        <f>IF(Y14="","",MAX(AB14:AB15))</f>
        <v>#N/A</v>
      </c>
      <c r="AC17" s="206" t="e">
        <f>SUM(AC14:AC15)</f>
        <v>#N/A</v>
      </c>
      <c r="AD17" s="206" t="e">
        <f>SUM(AD14:AD15)</f>
        <v>#N/A</v>
      </c>
      <c r="AE17" s="1" t="e">
        <f>IF(Y14="","",SUM(AE14:AE16))</f>
        <v>#N/A</v>
      </c>
      <c r="AF17" s="1" t="e">
        <f>SUM(AF14:AF16)</f>
        <v>#N/A</v>
      </c>
      <c r="AH17" s="15" t="e">
        <f t="shared" si="23"/>
        <v>#N/A</v>
      </c>
      <c r="AI17" s="1">
        <f t="shared" si="23"/>
        <v>0</v>
      </c>
      <c r="AJ17" s="1" t="str">
        <f t="shared" si="23"/>
        <v/>
      </c>
      <c r="AK17" s="1">
        <f t="shared" si="23"/>
        <v>0</v>
      </c>
      <c r="AL17" s="20">
        <f t="shared" si="23"/>
        <v>0</v>
      </c>
      <c r="AM17" s="20">
        <f t="shared" si="23"/>
        <v>0</v>
      </c>
      <c r="AN17" s="16">
        <f t="shared" si="23"/>
        <v>0</v>
      </c>
      <c r="AO17" s="1" t="e">
        <f>AO14</f>
        <v>#N/A</v>
      </c>
      <c r="AP17" s="1" t="e">
        <f>IF(AO14="","",SUM(AP14:AP15))</f>
        <v>#N/A</v>
      </c>
      <c r="AQ17" s="1" t="e">
        <f>IF(AO14="","",SUM(AQ14:AQ15))</f>
        <v>#N/A</v>
      </c>
      <c r="AR17" s="1" t="e">
        <f>IF(AO14="","",MAX(AR14:AR15))</f>
        <v>#N/A</v>
      </c>
      <c r="AS17" s="206" t="e">
        <f>SUM(AS14:AS15)</f>
        <v>#N/A</v>
      </c>
      <c r="AT17" s="206" t="e">
        <f>SUM(AT14:AT15)</f>
        <v>#N/A</v>
      </c>
      <c r="AU17" s="1" t="e">
        <f>SUM(AU14:AU16)</f>
        <v>#N/A</v>
      </c>
      <c r="AV17" s="1" t="e">
        <f>SUM(AV14:AV16)</f>
        <v>#N/A</v>
      </c>
    </row>
    <row r="18" spans="2:48" x14ac:dyDescent="0.25">
      <c r="B18" s="15" t="e">
        <f>'Calc Feuille de résultats'!Z24</f>
        <v>#N/A</v>
      </c>
      <c r="C18" s="1">
        <f>'Calc Feuille de résultats'!AA24</f>
        <v>0</v>
      </c>
      <c r="D18" s="1" t="str">
        <f>'Calc Feuille de résultats'!AB24</f>
        <v/>
      </c>
      <c r="E18" s="1">
        <f>'Calc Feuille de résultats'!AC24</f>
        <v>0</v>
      </c>
      <c r="F18" s="1">
        <f>'Calc Feuille de résultats'!AD24</f>
        <v>0</v>
      </c>
      <c r="G18" s="1">
        <f>'Calc Feuille de résultats'!AE24</f>
        <v>0</v>
      </c>
      <c r="H18" s="1">
        <f>'Calc Feuille de résultats'!AI24</f>
        <v>0</v>
      </c>
      <c r="I18" s="212" t="s">
        <v>343</v>
      </c>
      <c r="J18" s="1" t="e">
        <f>IF(O14=3,3,IF(O14=2,2,IF(O14=1,1,IF(O14=0,0,""))))</f>
        <v>#N/A</v>
      </c>
      <c r="K18" s="1" t="e">
        <f>IF(O15=3,3,IF(O15=2,2,IF(O15=1,1,IF(O15=0,0,""))))</f>
        <v>#N/A</v>
      </c>
      <c r="L18" s="1" t="e">
        <f>J18+K18</f>
        <v>#N/A</v>
      </c>
      <c r="M18" s="206"/>
      <c r="N18" s="206"/>
      <c r="R18" s="15" t="e">
        <f t="shared" si="22"/>
        <v>#N/A</v>
      </c>
      <c r="S18" s="1">
        <f t="shared" si="22"/>
        <v>0</v>
      </c>
      <c r="T18" s="1" t="str">
        <f t="shared" si="22"/>
        <v/>
      </c>
      <c r="U18" s="1">
        <f t="shared" si="22"/>
        <v>0</v>
      </c>
      <c r="V18" s="206">
        <f t="shared" si="22"/>
        <v>0</v>
      </c>
      <c r="W18" s="206">
        <f t="shared" si="22"/>
        <v>0</v>
      </c>
      <c r="X18" s="16">
        <f t="shared" si="22"/>
        <v>0</v>
      </c>
      <c r="Y18" s="212" t="s">
        <v>343</v>
      </c>
      <c r="Z18" s="1" t="e">
        <f>IF(AE14=3,3,IF(AE14=2,2,IF(AE14=1,1,IF(AE14=0,0,""))))</f>
        <v>#N/A</v>
      </c>
      <c r="AA18" s="1" t="e">
        <f>IF(AE15=3,3,IF(AE15=2,2,IF(AE15=1,1,IF(AE15=0,0,""))))</f>
        <v>#N/A</v>
      </c>
      <c r="AB18" s="1" t="e">
        <f>Z18+AA18</f>
        <v>#N/A</v>
      </c>
      <c r="AH18" s="15" t="e">
        <f t="shared" si="23"/>
        <v>#N/A</v>
      </c>
      <c r="AI18" s="1">
        <f t="shared" si="23"/>
        <v>0</v>
      </c>
      <c r="AJ18" s="1" t="str">
        <f t="shared" si="23"/>
        <v/>
      </c>
      <c r="AK18" s="1">
        <f t="shared" si="23"/>
        <v>0</v>
      </c>
      <c r="AL18" s="20">
        <f t="shared" si="23"/>
        <v>0</v>
      </c>
      <c r="AM18" s="20">
        <f t="shared" si="23"/>
        <v>0</v>
      </c>
      <c r="AN18" s="16">
        <f t="shared" si="23"/>
        <v>0</v>
      </c>
      <c r="AO18" s="212" t="s">
        <v>343</v>
      </c>
      <c r="AP18" s="1" t="e">
        <f>IF(AU14=3,3,IF(AU14=2,2,IF(AU14=1,1,IF(AU14=0,0,""))))</f>
        <v>#N/A</v>
      </c>
      <c r="AQ18" s="1" t="e">
        <f>IF(AU15=3,3,IF(AU15=2,2,IF(AU15=1,1,IF(AU15=0,0,""))))</f>
        <v>#N/A</v>
      </c>
      <c r="AR18" s="1" t="e">
        <f>AP18+AQ18</f>
        <v>#N/A</v>
      </c>
      <c r="AS18" s="206"/>
      <c r="AT18" s="20"/>
    </row>
    <row r="19" spans="2:48" ht="15.75" thickBot="1" x14ac:dyDescent="0.3">
      <c r="B19" s="17" t="e">
        <f>'Calc Feuille de résultats'!Z25</f>
        <v>#N/A</v>
      </c>
      <c r="C19" s="18">
        <f>'Calc Feuille de résultats'!AA25</f>
        <v>0</v>
      </c>
      <c r="D19" s="18" t="str">
        <f>'Calc Feuille de résultats'!AB25</f>
        <v/>
      </c>
      <c r="E19" s="18">
        <f>'Calc Feuille de résultats'!AC25</f>
        <v>0</v>
      </c>
      <c r="F19" s="18">
        <f>'Calc Feuille de résultats'!AD25</f>
        <v>0</v>
      </c>
      <c r="G19" s="18">
        <f>'Calc Feuille de résultats'!AE25</f>
        <v>0</v>
      </c>
      <c r="H19" s="18">
        <f>'Calc Feuille de résultats'!AI25</f>
        <v>0</v>
      </c>
      <c r="I19" s="212" t="s">
        <v>344</v>
      </c>
      <c r="J19" s="1" t="e">
        <f>IF(O15=3,3,IF(O15=2,2,IF(O15=1,1,IF(O15=0,0,""))))</f>
        <v>#N/A</v>
      </c>
      <c r="K19" s="1">
        <f>IF(O16=3,3,IF(O16=2,2,IF(O16=1,1,IF(O16=0,0,""))))</f>
        <v>0</v>
      </c>
      <c r="L19" s="1" t="e">
        <f>J19+K19</f>
        <v>#N/A</v>
      </c>
      <c r="M19" s="206"/>
      <c r="N19" s="206"/>
      <c r="R19" s="17" t="e">
        <f t="shared" si="22"/>
        <v>#N/A</v>
      </c>
      <c r="S19" s="18">
        <f t="shared" si="22"/>
        <v>0</v>
      </c>
      <c r="T19" s="18" t="str">
        <f t="shared" si="22"/>
        <v/>
      </c>
      <c r="U19" s="18">
        <f t="shared" si="22"/>
        <v>0</v>
      </c>
      <c r="V19" s="207">
        <f t="shared" si="22"/>
        <v>0</v>
      </c>
      <c r="W19" s="207">
        <f t="shared" si="22"/>
        <v>0</v>
      </c>
      <c r="X19" s="19">
        <f t="shared" si="22"/>
        <v>0</v>
      </c>
      <c r="Y19" s="212" t="s">
        <v>344</v>
      </c>
      <c r="Z19" s="1" t="e">
        <f>IF(AE15=3,3,IF(AE15=2,2,IF(AE15=1,1,IF(AE15=0,0,""))))</f>
        <v>#N/A</v>
      </c>
      <c r="AA19" s="1">
        <f>IF(AE16=3,3,IF(AE16=2,2,IF(AE16=1,1,IF(AE16=0,0,""))))</f>
        <v>0</v>
      </c>
      <c r="AB19" s="1" t="e">
        <f>Z19+AA19</f>
        <v>#N/A</v>
      </c>
      <c r="AH19" s="17" t="e">
        <f t="shared" si="23"/>
        <v>#N/A</v>
      </c>
      <c r="AI19" s="18">
        <f t="shared" si="23"/>
        <v>0</v>
      </c>
      <c r="AJ19" s="18" t="str">
        <f t="shared" si="23"/>
        <v/>
      </c>
      <c r="AK19" s="18">
        <f t="shared" si="23"/>
        <v>0</v>
      </c>
      <c r="AL19" s="22">
        <f t="shared" si="23"/>
        <v>0</v>
      </c>
      <c r="AM19" s="22">
        <f t="shared" si="23"/>
        <v>0</v>
      </c>
      <c r="AN19" s="19">
        <f t="shared" si="23"/>
        <v>0</v>
      </c>
      <c r="AO19" s="212" t="s">
        <v>344</v>
      </c>
      <c r="AP19" s="1" t="e">
        <f>IF(AU15=3,3,IF(AU15=2,2,IF(AU15=1,1,IF(AU15=0,0,""))))</f>
        <v>#N/A</v>
      </c>
      <c r="AQ19" s="1">
        <f>IF(AU16=3,3,IF(AU16=2,2,IF(AU16=1,1,IF(AU16=0,0,""))))</f>
        <v>0</v>
      </c>
      <c r="AR19" s="1" t="e">
        <f>AP19+AQ19</f>
        <v>#N/A</v>
      </c>
      <c r="AS19" s="206"/>
      <c r="AT19" s="20"/>
    </row>
    <row r="21" spans="2:48" hidden="1" x14ac:dyDescent="0.25"/>
    <row r="22" spans="2:48" ht="15.75" hidden="1" thickBot="1" x14ac:dyDescent="0.3">
      <c r="O22" s="25">
        <f>COUNTA(R23:R28)</f>
        <v>6</v>
      </c>
      <c r="P22" s="25">
        <f>COUNTBLANK(R23:R28)</f>
        <v>0</v>
      </c>
      <c r="Q22" s="25"/>
      <c r="AH22" s="25">
        <v>2</v>
      </c>
      <c r="AI22" s="25">
        <v>3</v>
      </c>
      <c r="AJ22" s="25">
        <v>4</v>
      </c>
      <c r="AK22" s="25">
        <v>5</v>
      </c>
      <c r="AL22" s="25">
        <v>6</v>
      </c>
      <c r="AM22" s="25">
        <v>7</v>
      </c>
    </row>
    <row r="23" spans="2:48" hidden="1" x14ac:dyDescent="0.25">
      <c r="B23" s="1" t="e">
        <f>I5</f>
        <v>#N/A</v>
      </c>
      <c r="C23" s="1" t="e">
        <f>VLOOKUP($B23,$B$49:$I57,C$46,0)</f>
        <v>#N/A</v>
      </c>
      <c r="D23" s="1" t="e">
        <f>VLOOKUP($B23,$B$49:$I57,D$46,0)</f>
        <v>#N/A</v>
      </c>
      <c r="E23" s="1" t="e">
        <f>VLOOKUP($B23,$B$49:$I57,E$46,0)</f>
        <v>#N/A</v>
      </c>
      <c r="F23" s="1" t="e">
        <f>VLOOKUP($B23,$B$49:$I57,F$46,0)</f>
        <v>#N/A</v>
      </c>
      <c r="G23" s="1" t="e">
        <f>VLOOKUP($B23,$B$49:$I57,G$46,0)</f>
        <v>#N/A</v>
      </c>
      <c r="H23" s="1" t="e">
        <f>VLOOKUP($B23,$B$49:$I57,H$46,0)</f>
        <v>#N/A</v>
      </c>
      <c r="I23" s="1" t="e">
        <f>VLOOKUP($B23,$B$49:$I57,I$46,0)</f>
        <v>#N/A</v>
      </c>
      <c r="J23" s="1" t="str">
        <f>'Calc Inscription Joueurs'!AA2</f>
        <v>Aucune</v>
      </c>
      <c r="P23" s="1" t="str">
        <f t="shared" ref="P23:P28" si="26">IFERROR(RANK(I23,$I$23:$I$28,0),"")</f>
        <v/>
      </c>
      <c r="R23" s="1" t="e">
        <f>B23</f>
        <v>#N/A</v>
      </c>
      <c r="S23" s="1" t="e">
        <f>C23</f>
        <v>#N/A</v>
      </c>
      <c r="T23" s="1" t="e">
        <f>D23</f>
        <v>#N/A</v>
      </c>
      <c r="U23" s="1" t="e">
        <f>E23</f>
        <v>#N/A</v>
      </c>
      <c r="V23" s="1" t="e">
        <f>F23</f>
        <v>#N/A</v>
      </c>
      <c r="W23" s="1" t="e">
        <f>H23</f>
        <v>#N/A</v>
      </c>
      <c r="X23" s="1" t="e">
        <f>I23</f>
        <v>#N/A</v>
      </c>
      <c r="AE23" s="25">
        <f>O22-P22</f>
        <v>6</v>
      </c>
      <c r="AF23" s="12">
        <v>1</v>
      </c>
      <c r="AG23" s="13"/>
      <c r="AH23" s="13" t="str">
        <f t="shared" ref="AH23:AH28" si="27">IFERROR(VLOOKUP($AF23,$P$23:$W$28,AH$22,0),"")</f>
        <v/>
      </c>
      <c r="AI23" s="13" t="str">
        <f t="shared" ref="AI23:AM28" si="28">IFERROR(VLOOKUP($AF23,$P$23:$W$27,AI$22,0),"")</f>
        <v/>
      </c>
      <c r="AJ23" s="13" t="str">
        <f t="shared" si="28"/>
        <v/>
      </c>
      <c r="AK23" s="13" t="str">
        <f t="shared" si="28"/>
        <v/>
      </c>
      <c r="AL23" s="13" t="str">
        <f t="shared" si="28"/>
        <v/>
      </c>
      <c r="AM23" s="14" t="str">
        <f t="shared" si="28"/>
        <v/>
      </c>
    </row>
    <row r="24" spans="2:48" hidden="1" x14ac:dyDescent="0.25">
      <c r="B24" s="1" t="e">
        <f>I11</f>
        <v>#N/A</v>
      </c>
      <c r="C24" s="1" t="e">
        <f>VLOOKUP($B24,$B$49:$I58,C$46,0)</f>
        <v>#N/A</v>
      </c>
      <c r="D24" s="1" t="e">
        <f>VLOOKUP($B24,$B$49:$I58,D$46,0)</f>
        <v>#N/A</v>
      </c>
      <c r="E24" s="1" t="e">
        <f>VLOOKUP($B24,$B$49:$I58,E$46,0)</f>
        <v>#N/A</v>
      </c>
      <c r="F24" s="1" t="e">
        <f>VLOOKUP($B24,$B$49:$I58,F$46,0)</f>
        <v>#N/A</v>
      </c>
      <c r="G24" s="1" t="e">
        <f>VLOOKUP($B24,$B$49:$I58,G$46,0)</f>
        <v>#N/A</v>
      </c>
      <c r="H24" s="1" t="e">
        <f>VLOOKUP($B24,$B$49:$I58,H$46,0)</f>
        <v>#N/A</v>
      </c>
      <c r="I24" s="1" t="e">
        <f>VLOOKUP($B24,$B$49:$I58,I$46,0)</f>
        <v>#N/A</v>
      </c>
      <c r="J24" s="30" t="s">
        <v>120</v>
      </c>
      <c r="P24" s="1" t="str">
        <f t="shared" si="26"/>
        <v/>
      </c>
      <c r="R24" s="1" t="e">
        <f>B24</f>
        <v>#N/A</v>
      </c>
      <c r="S24" s="1" t="e">
        <f t="shared" ref="S24:V27" si="29">C24</f>
        <v>#N/A</v>
      </c>
      <c r="T24" s="1" t="e">
        <f t="shared" si="29"/>
        <v>#N/A</v>
      </c>
      <c r="U24" s="1" t="e">
        <f t="shared" si="29"/>
        <v>#N/A</v>
      </c>
      <c r="V24" s="1" t="e">
        <f t="shared" si="29"/>
        <v>#N/A</v>
      </c>
      <c r="W24" s="1" t="e">
        <f t="shared" ref="W24:W32" si="30">H24</f>
        <v>#N/A</v>
      </c>
      <c r="X24" s="1" t="e">
        <f t="shared" ref="X24:X32" si="31">I24</f>
        <v>#N/A</v>
      </c>
      <c r="AC24" s="1" t="str">
        <f>J24</f>
        <v>POULE JUMELE</v>
      </c>
      <c r="AF24" s="15">
        <v>2</v>
      </c>
      <c r="AH24" s="1" t="str">
        <f t="shared" si="27"/>
        <v/>
      </c>
      <c r="AI24" s="1" t="str">
        <f t="shared" si="28"/>
        <v/>
      </c>
      <c r="AJ24" s="1" t="str">
        <f t="shared" si="28"/>
        <v/>
      </c>
      <c r="AK24" s="1" t="str">
        <f t="shared" si="28"/>
        <v/>
      </c>
      <c r="AL24" s="1" t="str">
        <f t="shared" si="28"/>
        <v/>
      </c>
      <c r="AM24" s="16" t="str">
        <f t="shared" si="28"/>
        <v/>
      </c>
    </row>
    <row r="25" spans="2:48" hidden="1" x14ac:dyDescent="0.25">
      <c r="B25" s="1" t="e">
        <f>I17</f>
        <v>#N/A</v>
      </c>
      <c r="C25" s="1" t="e">
        <f>VLOOKUP($B25,$B$49:$I58,C$46,0)</f>
        <v>#N/A</v>
      </c>
      <c r="D25" s="1" t="e">
        <f>VLOOKUP($B25,$B$49:$I58,D$46,0)</f>
        <v>#N/A</v>
      </c>
      <c r="E25" s="1" t="e">
        <f>VLOOKUP($B25,$B$49:$I58,E$46,0)</f>
        <v>#N/A</v>
      </c>
      <c r="F25" s="1" t="e">
        <f>VLOOKUP($B25,$B$49:$I58,F$46,0)</f>
        <v>#N/A</v>
      </c>
      <c r="G25" s="1" t="e">
        <f>VLOOKUP($B25,$B$49:$I58,G$46,0)</f>
        <v>#N/A</v>
      </c>
      <c r="H25" s="1" t="e">
        <f>VLOOKUP($B25,$B$49:$I58,H$46,0)</f>
        <v>#N/A</v>
      </c>
      <c r="I25" s="1" t="e">
        <f>VLOOKUP($B25,$B$49:$I58,I$46,0)</f>
        <v>#N/A</v>
      </c>
      <c r="K25" s="1" t="str">
        <f>'Calc Feuille de résultats'!B6</f>
        <v>POULE 1</v>
      </c>
      <c r="P25" s="1" t="str">
        <f t="shared" si="26"/>
        <v/>
      </c>
      <c r="R25" s="1" t="e">
        <f>B25</f>
        <v>#N/A</v>
      </c>
      <c r="S25" s="1" t="e">
        <f t="shared" si="29"/>
        <v>#N/A</v>
      </c>
      <c r="T25" s="1" t="e">
        <f t="shared" si="29"/>
        <v>#N/A</v>
      </c>
      <c r="U25" s="1" t="e">
        <f t="shared" si="29"/>
        <v>#N/A</v>
      </c>
      <c r="V25" s="1" t="e">
        <f t="shared" si="29"/>
        <v>#N/A</v>
      </c>
      <c r="W25" s="1" t="e">
        <f t="shared" si="30"/>
        <v>#N/A</v>
      </c>
      <c r="X25" s="1" t="e">
        <f t="shared" si="31"/>
        <v>#N/A</v>
      </c>
      <c r="AC25" s="1" t="str">
        <f>K25</f>
        <v>POULE 1</v>
      </c>
      <c r="AF25" s="15">
        <f>IF(AE23&lt;3,"",3)</f>
        <v>3</v>
      </c>
      <c r="AH25" s="1" t="str">
        <f t="shared" si="27"/>
        <v/>
      </c>
      <c r="AI25" s="1" t="str">
        <f t="shared" si="28"/>
        <v/>
      </c>
      <c r="AJ25" s="1" t="str">
        <f t="shared" si="28"/>
        <v/>
      </c>
      <c r="AK25" s="1" t="str">
        <f t="shared" si="28"/>
        <v/>
      </c>
      <c r="AL25" s="1" t="str">
        <f t="shared" si="28"/>
        <v/>
      </c>
      <c r="AM25" s="16" t="str">
        <f t="shared" si="28"/>
        <v/>
      </c>
    </row>
    <row r="26" spans="2:48" hidden="1" x14ac:dyDescent="0.25">
      <c r="B26" s="1" t="e">
        <f>Y5</f>
        <v>#N/A</v>
      </c>
      <c r="C26" s="1" t="e">
        <f>VLOOKUP($B26,$B$49:$I58,C$46,0)</f>
        <v>#N/A</v>
      </c>
      <c r="D26" s="1" t="e">
        <f>VLOOKUP($B26,$B$49:$I58,D$46,0)</f>
        <v>#N/A</v>
      </c>
      <c r="E26" s="1" t="e">
        <f>VLOOKUP($B26,$B$49:$I58,E$46,0)</f>
        <v>#N/A</v>
      </c>
      <c r="F26" s="1" t="e">
        <f>VLOOKUP($B26,$B$49:$I58,F$46,0)</f>
        <v>#N/A</v>
      </c>
      <c r="G26" s="1" t="e">
        <f>VLOOKUP($B26,$B$49:$I58,G$46,0)</f>
        <v>#N/A</v>
      </c>
      <c r="H26" s="1" t="e">
        <f>VLOOKUP($B26,$B$49:$I58,H$46,0)</f>
        <v>#N/A</v>
      </c>
      <c r="I26" s="1" t="e">
        <f>VLOOKUP($B26,$B$49:$I58,I$46,0)</f>
        <v>#N/A</v>
      </c>
      <c r="L26" s="1" t="str">
        <f>'Calc Feuille de résultats'!M6</f>
        <v>POULE 2</v>
      </c>
      <c r="P26" s="1" t="str">
        <f t="shared" si="26"/>
        <v/>
      </c>
      <c r="R26" s="1" t="e">
        <f>B26</f>
        <v>#N/A</v>
      </c>
      <c r="S26" s="1" t="e">
        <f t="shared" si="29"/>
        <v>#N/A</v>
      </c>
      <c r="T26" s="1" t="e">
        <f t="shared" si="29"/>
        <v>#N/A</v>
      </c>
      <c r="U26" s="1" t="e">
        <f t="shared" si="29"/>
        <v>#N/A</v>
      </c>
      <c r="V26" s="1" t="e">
        <f t="shared" si="29"/>
        <v>#N/A</v>
      </c>
      <c r="W26" s="1" t="e">
        <f t="shared" si="30"/>
        <v>#N/A</v>
      </c>
      <c r="X26" s="1" t="e">
        <f t="shared" si="31"/>
        <v>#N/A</v>
      </c>
      <c r="AC26" s="1" t="str">
        <f>L26</f>
        <v>POULE 2</v>
      </c>
      <c r="AF26" s="15">
        <f>IF(AE23&lt;4,"",4)</f>
        <v>4</v>
      </c>
      <c r="AH26" s="1" t="str">
        <f t="shared" si="27"/>
        <v/>
      </c>
      <c r="AI26" s="1" t="str">
        <f t="shared" si="28"/>
        <v/>
      </c>
      <c r="AJ26" s="1" t="str">
        <f t="shared" si="28"/>
        <v/>
      </c>
      <c r="AK26" s="1" t="str">
        <f t="shared" si="28"/>
        <v/>
      </c>
      <c r="AL26" s="1" t="str">
        <f t="shared" si="28"/>
        <v/>
      </c>
      <c r="AM26" s="16" t="str">
        <f t="shared" si="28"/>
        <v/>
      </c>
    </row>
    <row r="27" spans="2:48" hidden="1" x14ac:dyDescent="0.25">
      <c r="B27" s="1" t="e">
        <f>Y11</f>
        <v>#N/A</v>
      </c>
      <c r="C27" s="1" t="e">
        <f>VLOOKUP($B27,$B$49:$I58,C$46,0)</f>
        <v>#N/A</v>
      </c>
      <c r="D27" s="1" t="e">
        <f>VLOOKUP($B27,$B$49:$I58,D$46,0)</f>
        <v>#N/A</v>
      </c>
      <c r="E27" s="1" t="e">
        <f>VLOOKUP($B27,$B$49:$I58,E$46,0)</f>
        <v>#N/A</v>
      </c>
      <c r="F27" s="1" t="e">
        <f>VLOOKUP($B27,$B$49:$I58,F$46,0)</f>
        <v>#N/A</v>
      </c>
      <c r="G27" s="1" t="e">
        <f>VLOOKUP($B27,$B$49:$I58,G$46,0)</f>
        <v>#N/A</v>
      </c>
      <c r="H27" s="1" t="e">
        <f>VLOOKUP($B27,$B$49:$I58,H$46,0)</f>
        <v>#N/A</v>
      </c>
      <c r="I27" s="1" t="e">
        <f>VLOOKUP($B27,$B$49:$I58,I$46,0)</f>
        <v>#N/A</v>
      </c>
      <c r="P27" s="1" t="str">
        <f t="shared" si="26"/>
        <v/>
      </c>
      <c r="R27" s="1" t="e">
        <f>B27</f>
        <v>#N/A</v>
      </c>
      <c r="S27" s="1" t="e">
        <f t="shared" si="29"/>
        <v>#N/A</v>
      </c>
      <c r="T27" s="1" t="e">
        <f t="shared" si="29"/>
        <v>#N/A</v>
      </c>
      <c r="U27" s="1" t="e">
        <f t="shared" si="29"/>
        <v>#N/A</v>
      </c>
      <c r="V27" s="1" t="e">
        <f t="shared" si="29"/>
        <v>#N/A</v>
      </c>
      <c r="W27" s="1" t="e">
        <f t="shared" si="30"/>
        <v>#N/A</v>
      </c>
      <c r="X27" s="1" t="e">
        <f t="shared" si="31"/>
        <v>#N/A</v>
      </c>
      <c r="AF27" s="15">
        <f>IF(AE23&lt;5,"",5)</f>
        <v>5</v>
      </c>
      <c r="AH27" s="1" t="str">
        <f t="shared" si="27"/>
        <v/>
      </c>
      <c r="AI27" s="1" t="str">
        <f t="shared" si="28"/>
        <v/>
      </c>
      <c r="AJ27" s="1" t="str">
        <f t="shared" si="28"/>
        <v/>
      </c>
      <c r="AK27" s="1" t="str">
        <f t="shared" si="28"/>
        <v/>
      </c>
      <c r="AL27" s="1" t="str">
        <f t="shared" si="28"/>
        <v/>
      </c>
      <c r="AM27" s="16" t="str">
        <f t="shared" si="28"/>
        <v/>
      </c>
    </row>
    <row r="28" spans="2:48" ht="15.75" hidden="1" thickBot="1" x14ac:dyDescent="0.3">
      <c r="B28" s="1" t="e">
        <f>Y17</f>
        <v>#N/A</v>
      </c>
      <c r="C28" s="1" t="e">
        <f>VLOOKUP($B28,$B$49:$I58,C$46,0)</f>
        <v>#N/A</v>
      </c>
      <c r="D28" s="1" t="e">
        <f>VLOOKUP($B28,$B$49:$I58,D$46,0)</f>
        <v>#N/A</v>
      </c>
      <c r="E28" s="1" t="e">
        <f>VLOOKUP($B28,$B$49:$I58,E$46,0)</f>
        <v>#N/A</v>
      </c>
      <c r="F28" s="1" t="e">
        <f>VLOOKUP($B28,$B$49:$I58,F$46,0)</f>
        <v>#N/A</v>
      </c>
      <c r="G28" s="1" t="e">
        <f>VLOOKUP($B28,$B$49:$I58,G$46,0)</f>
        <v>#N/A</v>
      </c>
      <c r="H28" s="1" t="e">
        <f>VLOOKUP($B28,$B$49:$I58,H$46,0)</f>
        <v>#N/A</v>
      </c>
      <c r="I28" s="1" t="e">
        <f>VLOOKUP($B28,$B$49:$I58,I$46,0)</f>
        <v>#N/A</v>
      </c>
      <c r="P28" s="1" t="str">
        <f t="shared" si="26"/>
        <v/>
      </c>
      <c r="R28" s="1" t="e">
        <f>B28</f>
        <v>#N/A</v>
      </c>
      <c r="W28" s="1" t="e">
        <f t="shared" si="30"/>
        <v>#N/A</v>
      </c>
      <c r="X28" s="1" t="e">
        <f>I28</f>
        <v>#N/A</v>
      </c>
      <c r="AF28" s="17">
        <f>IF(AE23&lt;6,"",6)</f>
        <v>6</v>
      </c>
      <c r="AG28" s="18"/>
      <c r="AH28" s="18" t="str">
        <f t="shared" si="27"/>
        <v/>
      </c>
      <c r="AI28" s="18" t="str">
        <f t="shared" si="28"/>
        <v/>
      </c>
      <c r="AJ28" s="18" t="str">
        <f t="shared" si="28"/>
        <v/>
      </c>
      <c r="AK28" s="18" t="str">
        <f t="shared" si="28"/>
        <v/>
      </c>
      <c r="AL28" s="18" t="str">
        <f t="shared" si="28"/>
        <v/>
      </c>
      <c r="AM28" s="19" t="str">
        <f t="shared" si="28"/>
        <v/>
      </c>
    </row>
    <row r="29" spans="2:48" ht="15.75" hidden="1" thickBot="1" x14ac:dyDescent="0.3">
      <c r="O29" s="25">
        <f>COUNTA(R30:R32)</f>
        <v>3</v>
      </c>
      <c r="P29" s="25">
        <f>COUNTBLANK(R30:R32)</f>
        <v>0</v>
      </c>
      <c r="Q29" s="25"/>
      <c r="AH29" s="25">
        <v>2</v>
      </c>
      <c r="AI29" s="25">
        <v>3</v>
      </c>
      <c r="AJ29" s="25">
        <v>4</v>
      </c>
      <c r="AK29" s="25">
        <v>5</v>
      </c>
      <c r="AL29" s="25">
        <v>6</v>
      </c>
      <c r="AM29" s="25">
        <v>7</v>
      </c>
    </row>
    <row r="30" spans="2:48" hidden="1" x14ac:dyDescent="0.25">
      <c r="B30" s="1" t="e">
        <f>AO5</f>
        <v>#N/A</v>
      </c>
      <c r="C30" s="1" t="e">
        <f>VLOOKUP($B30,$B$49:$I58,C$46,0)</f>
        <v>#N/A</v>
      </c>
      <c r="D30" s="1" t="e">
        <f>VLOOKUP($B30,$B$49:$I58,D$46,0)</f>
        <v>#N/A</v>
      </c>
      <c r="E30" s="1" t="e">
        <f>VLOOKUP($B30,$B$49:$I58,E$46,0)</f>
        <v>#N/A</v>
      </c>
      <c r="F30" s="1" t="e">
        <f>VLOOKUP($B30,$B$49:$I58,F$46,0)</f>
        <v>#N/A</v>
      </c>
      <c r="G30" s="1" t="e">
        <f>VLOOKUP($B30,$B$49:$I58,G$46,0)</f>
        <v>#N/A</v>
      </c>
      <c r="H30" s="1" t="e">
        <f>VLOOKUP($B30,$B$49:$I58,H$46,0)</f>
        <v>#N/A</v>
      </c>
      <c r="I30" s="1" t="e">
        <f>VLOOKUP($B30,$B$49:$I58,I$46,0)</f>
        <v>#N/A</v>
      </c>
      <c r="P30" s="1" t="str">
        <f>IFERROR(RANK(I30,$I$30:$I$32,0),"")</f>
        <v/>
      </c>
      <c r="R30" s="1" t="e">
        <f>B30</f>
        <v>#N/A</v>
      </c>
      <c r="S30" s="1" t="e">
        <f>C30</f>
        <v>#N/A</v>
      </c>
      <c r="T30" s="1" t="e">
        <f>D30</f>
        <v>#N/A</v>
      </c>
      <c r="U30" s="1" t="e">
        <f>E30</f>
        <v>#N/A</v>
      </c>
      <c r="V30" s="1" t="e">
        <f>F30</f>
        <v>#N/A</v>
      </c>
      <c r="W30" s="1" t="e">
        <f t="shared" si="30"/>
        <v>#N/A</v>
      </c>
      <c r="X30" s="1" t="e">
        <f t="shared" si="31"/>
        <v>#N/A</v>
      </c>
      <c r="AE30" s="25">
        <f>O29-P29</f>
        <v>3</v>
      </c>
      <c r="AF30" s="12">
        <v>1</v>
      </c>
      <c r="AG30" s="13"/>
      <c r="AH30" s="13" t="str">
        <f t="shared" ref="AH30:AM32" si="32">IFERROR(VLOOKUP($AF30,$P$30:$W$32,AH$29,0),"")</f>
        <v/>
      </c>
      <c r="AI30" s="13" t="str">
        <f t="shared" si="32"/>
        <v/>
      </c>
      <c r="AJ30" s="13" t="str">
        <f t="shared" si="32"/>
        <v/>
      </c>
      <c r="AK30" s="13" t="str">
        <f t="shared" si="32"/>
        <v/>
      </c>
      <c r="AL30" s="13" t="str">
        <f t="shared" si="32"/>
        <v/>
      </c>
      <c r="AM30" s="14" t="str">
        <f t="shared" si="32"/>
        <v/>
      </c>
    </row>
    <row r="31" spans="2:48" hidden="1" x14ac:dyDescent="0.25">
      <c r="B31" s="1" t="e">
        <f>AO11</f>
        <v>#N/A</v>
      </c>
      <c r="C31" s="1" t="e">
        <f>VLOOKUP($B31,$B$49:$I58,C$46,0)</f>
        <v>#N/A</v>
      </c>
      <c r="D31" s="1" t="e">
        <f>VLOOKUP($B31,$B$49:$I58,D$46,0)</f>
        <v>#N/A</v>
      </c>
      <c r="E31" s="1" t="e">
        <f>VLOOKUP($B31,$B$49:$I58,E$46,0)</f>
        <v>#N/A</v>
      </c>
      <c r="F31" s="1" t="e">
        <f>VLOOKUP($B31,$B$49:$I58,F$46,0)</f>
        <v>#N/A</v>
      </c>
      <c r="G31" s="1" t="e">
        <f>VLOOKUP($B31,$B$49:$I58,G$46,0)</f>
        <v>#N/A</v>
      </c>
      <c r="H31" s="1" t="e">
        <f>VLOOKUP($B31,$B$49:$I58,H$46,0)</f>
        <v>#N/A</v>
      </c>
      <c r="I31" s="1" t="e">
        <f>VLOOKUP($B31,$B$49:$I58,I$46,0)</f>
        <v>#N/A</v>
      </c>
      <c r="K31" s="1" t="str">
        <f>'Calc Feuille de résultats'!Y6</f>
        <v>POULE 3</v>
      </c>
      <c r="P31" s="1" t="str">
        <f>IFERROR(RANK(I31,$I$30:$I$32,0),"")</f>
        <v/>
      </c>
      <c r="R31" s="1" t="e">
        <f>B31</f>
        <v>#N/A</v>
      </c>
      <c r="S31" s="1" t="e">
        <f t="shared" ref="S31:V32" si="33">C31</f>
        <v>#N/A</v>
      </c>
      <c r="T31" s="1" t="e">
        <f t="shared" si="33"/>
        <v>#N/A</v>
      </c>
      <c r="U31" s="1" t="e">
        <f t="shared" si="33"/>
        <v>#N/A</v>
      </c>
      <c r="V31" s="1" t="e">
        <f t="shared" si="33"/>
        <v>#N/A</v>
      </c>
      <c r="W31" s="1" t="e">
        <f t="shared" si="30"/>
        <v>#N/A</v>
      </c>
      <c r="X31" s="1" t="e">
        <f t="shared" si="31"/>
        <v>#N/A</v>
      </c>
      <c r="AC31" s="1" t="str">
        <f>K31</f>
        <v>POULE 3</v>
      </c>
      <c r="AF31" s="15">
        <v>2</v>
      </c>
      <c r="AH31" s="1" t="str">
        <f t="shared" si="32"/>
        <v/>
      </c>
      <c r="AI31" s="1" t="str">
        <f t="shared" si="32"/>
        <v/>
      </c>
      <c r="AJ31" s="1" t="str">
        <f t="shared" si="32"/>
        <v/>
      </c>
      <c r="AK31" s="1" t="str">
        <f t="shared" si="32"/>
        <v/>
      </c>
      <c r="AL31" s="1" t="str">
        <f t="shared" si="32"/>
        <v/>
      </c>
      <c r="AM31" s="16" t="str">
        <f t="shared" si="32"/>
        <v/>
      </c>
    </row>
    <row r="32" spans="2:48" ht="15.75" hidden="1" thickBot="1" x14ac:dyDescent="0.3">
      <c r="B32" s="1" t="e">
        <f>AO17</f>
        <v>#N/A</v>
      </c>
      <c r="C32" s="1" t="e">
        <f>VLOOKUP($B32,$B$49:$I58,C$46,0)</f>
        <v>#N/A</v>
      </c>
      <c r="D32" s="1" t="e">
        <f>VLOOKUP($B32,$B$49:$I58,D$46,0)</f>
        <v>#N/A</v>
      </c>
      <c r="E32" s="1" t="e">
        <f>VLOOKUP($B32,$B$49:$I58,E$46,0)</f>
        <v>#N/A</v>
      </c>
      <c r="F32" s="1" t="e">
        <f>VLOOKUP($B32,$B$49:$I58,F$46,0)</f>
        <v>#N/A</v>
      </c>
      <c r="G32" s="1" t="e">
        <f>VLOOKUP($B32,$B$49:$I58,G$46,0)</f>
        <v>#N/A</v>
      </c>
      <c r="H32" s="1" t="e">
        <f>VLOOKUP($B32,$B$49:$I58,H$46,0)</f>
        <v>#N/A</v>
      </c>
      <c r="I32" s="1" t="e">
        <f>VLOOKUP($B32,$B$49:$I58,I$46,0)</f>
        <v>#N/A</v>
      </c>
      <c r="P32" s="1" t="str">
        <f>IFERROR(RANK(I32,$I$30:$I$32,0),"")</f>
        <v/>
      </c>
      <c r="R32" s="1" t="e">
        <f>B32</f>
        <v>#N/A</v>
      </c>
      <c r="S32" s="1" t="e">
        <f t="shared" si="33"/>
        <v>#N/A</v>
      </c>
      <c r="T32" s="1" t="e">
        <f t="shared" si="33"/>
        <v>#N/A</v>
      </c>
      <c r="U32" s="1" t="e">
        <f t="shared" si="33"/>
        <v>#N/A</v>
      </c>
      <c r="V32" s="1" t="e">
        <f t="shared" si="33"/>
        <v>#N/A</v>
      </c>
      <c r="W32" s="1" t="e">
        <f t="shared" si="30"/>
        <v>#N/A</v>
      </c>
      <c r="X32" s="1" t="e">
        <f t="shared" si="31"/>
        <v>#N/A</v>
      </c>
      <c r="AF32" s="17">
        <f>IF(AE30&lt;3,"",3)</f>
        <v>3</v>
      </c>
      <c r="AG32" s="18"/>
      <c r="AH32" s="18" t="str">
        <f t="shared" si="32"/>
        <v/>
      </c>
      <c r="AI32" s="18" t="str">
        <f t="shared" si="32"/>
        <v/>
      </c>
      <c r="AJ32" s="18" t="str">
        <f t="shared" si="32"/>
        <v/>
      </c>
      <c r="AK32" s="18" t="str">
        <f t="shared" si="32"/>
        <v/>
      </c>
      <c r="AL32" s="18" t="str">
        <f t="shared" si="32"/>
        <v/>
      </c>
      <c r="AM32" s="19" t="str">
        <f t="shared" si="32"/>
        <v/>
      </c>
    </row>
    <row r="33" spans="2:39" ht="15.75" hidden="1" thickBot="1" x14ac:dyDescent="0.3">
      <c r="O33" s="25">
        <f>COUNTA(R34:R36)</f>
        <v>3</v>
      </c>
      <c r="P33" s="25">
        <f>COUNTBLANK(R34:R36)</f>
        <v>0</v>
      </c>
      <c r="Q33" s="25"/>
    </row>
    <row r="34" spans="2:39" hidden="1" x14ac:dyDescent="0.25">
      <c r="B34" s="1" t="e">
        <f>'Calc Inscription Joueurs'!H4</f>
        <v>#N/A</v>
      </c>
      <c r="C34" s="1" t="e">
        <f>VLOOKUP($B34,$B$49:$I62,C$46,0)</f>
        <v>#N/A</v>
      </c>
      <c r="D34" s="1" t="e">
        <f>VLOOKUP($B34,$B$49:$I62,D$46,0)</f>
        <v>#N/A</v>
      </c>
      <c r="E34" s="1" t="e">
        <f>VLOOKUP($B34,$B$49:$I62,E$46,0)</f>
        <v>#N/A</v>
      </c>
      <c r="F34" s="1" t="e">
        <f>VLOOKUP($B34,$B$49:$I62,F$46,0)</f>
        <v>#N/A</v>
      </c>
      <c r="G34" s="1" t="e">
        <f>VLOOKUP($B34,$B$49:$I62,G$46,0)</f>
        <v>#N/A</v>
      </c>
      <c r="H34" s="1" t="e">
        <f>VLOOKUP($B34,$B$49:$I62,H$46,0)</f>
        <v>#N/A</v>
      </c>
      <c r="I34" s="1" t="e">
        <f>VLOOKUP($B34,$B$49:$I62,I$46,0)</f>
        <v>#N/A</v>
      </c>
      <c r="P34" s="1" t="str">
        <f>IFERROR(RANK(I34,$I$34:$I$36,0),"")</f>
        <v/>
      </c>
      <c r="R34" s="1" t="e">
        <f>B34</f>
        <v>#N/A</v>
      </c>
      <c r="S34" s="1" t="e">
        <f>C34</f>
        <v>#N/A</v>
      </c>
      <c r="T34" s="1" t="e">
        <f>D34</f>
        <v>#N/A</v>
      </c>
      <c r="U34" s="1" t="e">
        <f>E34</f>
        <v>#N/A</v>
      </c>
      <c r="V34" s="1" t="e">
        <f>F34</f>
        <v>#N/A</v>
      </c>
      <c r="W34" s="1" t="e">
        <f>H34</f>
        <v>#N/A</v>
      </c>
      <c r="X34" s="1" t="e">
        <f>I34</f>
        <v>#N/A</v>
      </c>
      <c r="AE34" s="25">
        <f>O33-P33</f>
        <v>3</v>
      </c>
      <c r="AF34" s="12">
        <v>1</v>
      </c>
      <c r="AG34" s="13"/>
      <c r="AH34" s="13" t="str">
        <f t="shared" ref="AH34:AM36" si="34">IFERROR(VLOOKUP($AF34,$P$34:$W$36,AH$29,0),"")</f>
        <v/>
      </c>
      <c r="AI34" s="13" t="str">
        <f t="shared" si="34"/>
        <v/>
      </c>
      <c r="AJ34" s="13" t="str">
        <f t="shared" si="34"/>
        <v/>
      </c>
      <c r="AK34" s="13" t="str">
        <f t="shared" si="34"/>
        <v/>
      </c>
      <c r="AL34" s="13" t="str">
        <f t="shared" si="34"/>
        <v/>
      </c>
      <c r="AM34" s="14" t="str">
        <f t="shared" si="34"/>
        <v/>
      </c>
    </row>
    <row r="35" spans="2:39" hidden="1" x14ac:dyDescent="0.25">
      <c r="B35" s="1" t="e">
        <f>'Calc Inscription Joueurs'!H5</f>
        <v>#N/A</v>
      </c>
      <c r="C35" s="1" t="e">
        <f>VLOOKUP($B35,$B$49:$I63,C$46,0)</f>
        <v>#N/A</v>
      </c>
      <c r="D35" s="1" t="e">
        <f>VLOOKUP($B35,$B$49:$I63,D$46,0)</f>
        <v>#N/A</v>
      </c>
      <c r="E35" s="1" t="e">
        <f>VLOOKUP($B35,$B$49:$I63,E$46,0)</f>
        <v>#N/A</v>
      </c>
      <c r="F35" s="1" t="e">
        <f>VLOOKUP($B35,$B$49:$I63,F$46,0)</f>
        <v>#N/A</v>
      </c>
      <c r="G35" s="1" t="e">
        <f>VLOOKUP($B35,$B$49:$I63,G$46,0)</f>
        <v>#N/A</v>
      </c>
      <c r="H35" s="1" t="e">
        <f>VLOOKUP($B35,$B$49:$I63,H$46,0)</f>
        <v>#N/A</v>
      </c>
      <c r="I35" s="1" t="e">
        <f>VLOOKUP($B35,$B$49:$I63,I$46,0)</f>
        <v>#N/A</v>
      </c>
      <c r="K35" s="1" t="str">
        <f>'Calc Inscription Joueurs'!H3</f>
        <v>POULE 1</v>
      </c>
      <c r="P35" s="1" t="str">
        <f>IFERROR(RANK(I35,$I$34:$I$36,0),"")</f>
        <v/>
      </c>
      <c r="R35" s="1" t="e">
        <f>B35</f>
        <v>#N/A</v>
      </c>
      <c r="S35" s="1" t="e">
        <f t="shared" ref="S35:V36" si="35">C35</f>
        <v>#N/A</v>
      </c>
      <c r="T35" s="1" t="e">
        <f t="shared" si="35"/>
        <v>#N/A</v>
      </c>
      <c r="U35" s="1" t="e">
        <f t="shared" si="35"/>
        <v>#N/A</v>
      </c>
      <c r="V35" s="1" t="e">
        <f t="shared" si="35"/>
        <v>#N/A</v>
      </c>
      <c r="W35" s="1" t="e">
        <f t="shared" ref="W35:W44" si="36">H35</f>
        <v>#N/A</v>
      </c>
      <c r="X35" s="1" t="e">
        <f t="shared" ref="X35:X44" si="37">I35</f>
        <v>#N/A</v>
      </c>
      <c r="AC35" s="1" t="str">
        <f>K35</f>
        <v>POULE 1</v>
      </c>
      <c r="AF35" s="15">
        <v>2</v>
      </c>
      <c r="AH35" s="1" t="str">
        <f t="shared" si="34"/>
        <v/>
      </c>
      <c r="AI35" s="1" t="str">
        <f t="shared" si="34"/>
        <v/>
      </c>
      <c r="AJ35" s="1" t="str">
        <f t="shared" si="34"/>
        <v/>
      </c>
      <c r="AK35" s="1" t="str">
        <f t="shared" si="34"/>
        <v/>
      </c>
      <c r="AL35" s="1" t="str">
        <f t="shared" si="34"/>
        <v/>
      </c>
      <c r="AM35" s="16" t="str">
        <f t="shared" si="34"/>
        <v/>
      </c>
    </row>
    <row r="36" spans="2:39" ht="15.75" hidden="1" thickBot="1" x14ac:dyDescent="0.3">
      <c r="B36" s="1" t="e">
        <f>'Calc Inscription Joueurs'!H6</f>
        <v>#N/A</v>
      </c>
      <c r="C36" s="1" t="e">
        <f>VLOOKUP($B36,$B$49:$I64,C$46,0)</f>
        <v>#N/A</v>
      </c>
      <c r="D36" s="1" t="e">
        <f>VLOOKUP($B36,$B$49:$I64,D$46,0)</f>
        <v>#N/A</v>
      </c>
      <c r="E36" s="1" t="e">
        <f>VLOOKUP($B36,$B$49:$I64,E$46,0)</f>
        <v>#N/A</v>
      </c>
      <c r="F36" s="1" t="e">
        <f>VLOOKUP($B36,$B$49:$I64,F$46,0)</f>
        <v>#N/A</v>
      </c>
      <c r="G36" s="1" t="e">
        <f>VLOOKUP($B36,$B$49:$I64,G$46,0)</f>
        <v>#N/A</v>
      </c>
      <c r="H36" s="1" t="e">
        <f>VLOOKUP($B36,$B$49:$I64,H$46,0)</f>
        <v>#N/A</v>
      </c>
      <c r="I36" s="1" t="e">
        <f>VLOOKUP($B36,$B$49:$I64,I$46,0)</f>
        <v>#N/A</v>
      </c>
      <c r="P36" s="1" t="str">
        <f>IFERROR(RANK(I36,$I$34:$I$36,0),"")</f>
        <v/>
      </c>
      <c r="R36" s="1" t="e">
        <f>B36</f>
        <v>#N/A</v>
      </c>
      <c r="S36" s="1" t="e">
        <f t="shared" si="35"/>
        <v>#N/A</v>
      </c>
      <c r="T36" s="1" t="e">
        <f t="shared" si="35"/>
        <v>#N/A</v>
      </c>
      <c r="U36" s="1" t="e">
        <f t="shared" si="35"/>
        <v>#N/A</v>
      </c>
      <c r="V36" s="1" t="e">
        <f t="shared" si="35"/>
        <v>#N/A</v>
      </c>
      <c r="W36" s="1" t="e">
        <f t="shared" si="36"/>
        <v>#N/A</v>
      </c>
      <c r="X36" s="1" t="e">
        <f t="shared" si="37"/>
        <v>#N/A</v>
      </c>
      <c r="AF36" s="17">
        <f>IF(AE34&lt;3,"",3)</f>
        <v>3</v>
      </c>
      <c r="AG36" s="18"/>
      <c r="AH36" s="18" t="str">
        <f t="shared" si="34"/>
        <v/>
      </c>
      <c r="AI36" s="18" t="str">
        <f t="shared" si="34"/>
        <v/>
      </c>
      <c r="AJ36" s="18" t="str">
        <f t="shared" si="34"/>
        <v/>
      </c>
      <c r="AK36" s="18" t="str">
        <f t="shared" si="34"/>
        <v/>
      </c>
      <c r="AL36" s="18" t="str">
        <f t="shared" si="34"/>
        <v/>
      </c>
      <c r="AM36" s="19" t="str">
        <f t="shared" si="34"/>
        <v/>
      </c>
    </row>
    <row r="37" spans="2:39" ht="15.75" hidden="1" thickBot="1" x14ac:dyDescent="0.3">
      <c r="O37" s="25">
        <f>COUNTA(R38:R40)</f>
        <v>3</v>
      </c>
      <c r="P37" s="25">
        <f>COUNTBLANK(R38:R40)</f>
        <v>0</v>
      </c>
      <c r="Q37" s="25"/>
    </row>
    <row r="38" spans="2:39" hidden="1" x14ac:dyDescent="0.25">
      <c r="B38" s="1" t="e">
        <f>'Calc Inscription Joueurs'!I4</f>
        <v>#N/A</v>
      </c>
      <c r="C38" s="1" t="e">
        <f>VLOOKUP($B38,$B$49:$I66,C$46,0)</f>
        <v>#N/A</v>
      </c>
      <c r="D38" s="1" t="e">
        <f>VLOOKUP($B38,$B$49:$I66,D$46,0)</f>
        <v>#N/A</v>
      </c>
      <c r="E38" s="1" t="e">
        <f>VLOOKUP($B38,$B$49:$I66,E$46,0)</f>
        <v>#N/A</v>
      </c>
      <c r="F38" s="1" t="e">
        <f>VLOOKUP($B38,$B$49:$I66,F$46,0)</f>
        <v>#N/A</v>
      </c>
      <c r="G38" s="1" t="e">
        <f>VLOOKUP($B38,$B$49:$I66,G$46,0)</f>
        <v>#N/A</v>
      </c>
      <c r="H38" s="1" t="e">
        <f>VLOOKUP($B38,$B$49:$I66,H$46,0)</f>
        <v>#N/A</v>
      </c>
      <c r="I38" s="1" t="e">
        <f>VLOOKUP($B38,$B$49:$I66,I$46,0)</f>
        <v>#N/A</v>
      </c>
      <c r="P38" s="1" t="str">
        <f>IFERROR(RANK(I38,$I$38:$I$40,0),"")</f>
        <v/>
      </c>
      <c r="R38" s="1" t="e">
        <f>B38</f>
        <v>#N/A</v>
      </c>
      <c r="S38" s="1" t="e">
        <f>C38</f>
        <v>#N/A</v>
      </c>
      <c r="T38" s="1" t="e">
        <f>D38</f>
        <v>#N/A</v>
      </c>
      <c r="U38" s="1" t="e">
        <f>E38</f>
        <v>#N/A</v>
      </c>
      <c r="V38" s="1" t="e">
        <f>F38</f>
        <v>#N/A</v>
      </c>
      <c r="W38" s="1" t="e">
        <f t="shared" si="36"/>
        <v>#N/A</v>
      </c>
      <c r="X38" s="1" t="e">
        <f t="shared" si="37"/>
        <v>#N/A</v>
      </c>
      <c r="AE38" s="25">
        <f>O37-P37</f>
        <v>3</v>
      </c>
      <c r="AF38" s="12">
        <v>1</v>
      </c>
      <c r="AG38" s="13"/>
      <c r="AH38" s="13" t="str">
        <f t="shared" ref="AH38:AM40" si="38">IFERROR(VLOOKUP($AF38,$P$38:$W$40,AH$29,0),"")</f>
        <v/>
      </c>
      <c r="AI38" s="13" t="str">
        <f t="shared" si="38"/>
        <v/>
      </c>
      <c r="AJ38" s="13" t="str">
        <f t="shared" si="38"/>
        <v/>
      </c>
      <c r="AK38" s="13" t="str">
        <f t="shared" si="38"/>
        <v/>
      </c>
      <c r="AL38" s="13" t="str">
        <f t="shared" si="38"/>
        <v/>
      </c>
      <c r="AM38" s="14" t="str">
        <f t="shared" si="38"/>
        <v/>
      </c>
    </row>
    <row r="39" spans="2:39" hidden="1" x14ac:dyDescent="0.25">
      <c r="B39" s="1" t="e">
        <f>'Calc Inscription Joueurs'!I5</f>
        <v>#N/A</v>
      </c>
      <c r="C39" s="1" t="e">
        <f>VLOOKUP($B39,$B$49:$I67,C$46,0)</f>
        <v>#N/A</v>
      </c>
      <c r="D39" s="1" t="e">
        <f>VLOOKUP($B39,$B$49:$I67,D$46,0)</f>
        <v>#N/A</v>
      </c>
      <c r="E39" s="1" t="e">
        <f>VLOOKUP($B39,$B$49:$I67,E$46,0)</f>
        <v>#N/A</v>
      </c>
      <c r="F39" s="1" t="e">
        <f>VLOOKUP($B39,$B$49:$I67,F$46,0)</f>
        <v>#N/A</v>
      </c>
      <c r="G39" s="1" t="e">
        <f>VLOOKUP($B39,$B$49:$I67,G$46,0)</f>
        <v>#N/A</v>
      </c>
      <c r="H39" s="1" t="e">
        <f>VLOOKUP($B39,$B$49:$I67,H$46,0)</f>
        <v>#N/A</v>
      </c>
      <c r="I39" s="1" t="e">
        <f>VLOOKUP($B39,$B$49:$I67,I$46,0)</f>
        <v>#N/A</v>
      </c>
      <c r="K39" s="1" t="str">
        <f>'Calc Inscription Joueurs'!I3</f>
        <v>POULE 2</v>
      </c>
      <c r="P39" s="1" t="str">
        <f>IFERROR(RANK(I39,$I$38:$I$40,0),"")</f>
        <v/>
      </c>
      <c r="R39" s="1" t="e">
        <f>B39</f>
        <v>#N/A</v>
      </c>
      <c r="S39" s="1" t="e">
        <f t="shared" ref="S39:V40" si="39">C39</f>
        <v>#N/A</v>
      </c>
      <c r="T39" s="1" t="e">
        <f t="shared" si="39"/>
        <v>#N/A</v>
      </c>
      <c r="U39" s="1" t="e">
        <f t="shared" si="39"/>
        <v>#N/A</v>
      </c>
      <c r="V39" s="1" t="e">
        <f t="shared" si="39"/>
        <v>#N/A</v>
      </c>
      <c r="W39" s="1" t="e">
        <f t="shared" si="36"/>
        <v>#N/A</v>
      </c>
      <c r="X39" s="1" t="e">
        <f t="shared" si="37"/>
        <v>#N/A</v>
      </c>
      <c r="AC39" s="1" t="str">
        <f>K39</f>
        <v>POULE 2</v>
      </c>
      <c r="AF39" s="15">
        <v>2</v>
      </c>
      <c r="AH39" s="1" t="str">
        <f t="shared" si="38"/>
        <v/>
      </c>
      <c r="AI39" s="1" t="str">
        <f t="shared" si="38"/>
        <v/>
      </c>
      <c r="AJ39" s="1" t="str">
        <f t="shared" si="38"/>
        <v/>
      </c>
      <c r="AK39" s="1" t="str">
        <f t="shared" si="38"/>
        <v/>
      </c>
      <c r="AL39" s="1" t="str">
        <f t="shared" si="38"/>
        <v/>
      </c>
      <c r="AM39" s="16" t="str">
        <f t="shared" si="38"/>
        <v/>
      </c>
    </row>
    <row r="40" spans="2:39" ht="15.75" hidden="1" thickBot="1" x14ac:dyDescent="0.3">
      <c r="B40" s="1" t="e">
        <f>'Calc Inscription Joueurs'!I6</f>
        <v>#N/A</v>
      </c>
      <c r="C40" s="1" t="e">
        <f>VLOOKUP($B40,$B$49:$I68,C$46,0)</f>
        <v>#N/A</v>
      </c>
      <c r="D40" s="1" t="e">
        <f>VLOOKUP($B40,$B$49:$I68,D$46,0)</f>
        <v>#N/A</v>
      </c>
      <c r="E40" s="1" t="e">
        <f>VLOOKUP($B40,$B$49:$I68,E$46,0)</f>
        <v>#N/A</v>
      </c>
      <c r="F40" s="1" t="e">
        <f>VLOOKUP($B40,$B$49:$I68,F$46,0)</f>
        <v>#N/A</v>
      </c>
      <c r="G40" s="1" t="e">
        <f>VLOOKUP($B40,$B$49:$I68,G$46,0)</f>
        <v>#N/A</v>
      </c>
      <c r="H40" s="1" t="e">
        <f>VLOOKUP($B40,$B$49:$I68,H$46,0)</f>
        <v>#N/A</v>
      </c>
      <c r="I40" s="1" t="e">
        <f>VLOOKUP($B40,$B$49:$I68,I$46,0)</f>
        <v>#N/A</v>
      </c>
      <c r="P40" s="1" t="str">
        <f>IFERROR(RANK(I40,$I$38:$I$40,0),"")</f>
        <v/>
      </c>
      <c r="R40" s="1" t="e">
        <f>B40</f>
        <v>#N/A</v>
      </c>
      <c r="S40" s="1" t="e">
        <f t="shared" si="39"/>
        <v>#N/A</v>
      </c>
      <c r="T40" s="1" t="e">
        <f t="shared" si="39"/>
        <v>#N/A</v>
      </c>
      <c r="U40" s="1" t="e">
        <f t="shared" si="39"/>
        <v>#N/A</v>
      </c>
      <c r="V40" s="1" t="e">
        <f t="shared" si="39"/>
        <v>#N/A</v>
      </c>
      <c r="W40" s="1" t="e">
        <f t="shared" si="36"/>
        <v>#N/A</v>
      </c>
      <c r="X40" s="1" t="e">
        <f t="shared" si="37"/>
        <v>#N/A</v>
      </c>
      <c r="AF40" s="17">
        <f>IF(AE38&lt;3,"",3)</f>
        <v>3</v>
      </c>
      <c r="AG40" s="18"/>
      <c r="AH40" s="18" t="str">
        <f t="shared" si="38"/>
        <v/>
      </c>
      <c r="AI40" s="18" t="str">
        <f t="shared" si="38"/>
        <v/>
      </c>
      <c r="AJ40" s="18" t="str">
        <f t="shared" si="38"/>
        <v/>
      </c>
      <c r="AK40" s="18" t="str">
        <f t="shared" si="38"/>
        <v/>
      </c>
      <c r="AL40" s="18" t="str">
        <f t="shared" si="38"/>
        <v/>
      </c>
      <c r="AM40" s="19" t="str">
        <f t="shared" si="38"/>
        <v/>
      </c>
    </row>
    <row r="41" spans="2:39" ht="15.75" hidden="1" thickBot="1" x14ac:dyDescent="0.3">
      <c r="O41" s="25">
        <f>COUNTA(R42:R44)</f>
        <v>3</v>
      </c>
      <c r="P41" s="25">
        <f>COUNTBLANK(R42:R44)</f>
        <v>0</v>
      </c>
      <c r="Q41" s="25"/>
    </row>
    <row r="42" spans="2:39" hidden="1" x14ac:dyDescent="0.25">
      <c r="B42" s="1" t="e">
        <f>'Calc Inscription Joueurs'!U4</f>
        <v>#N/A</v>
      </c>
      <c r="C42" s="1" t="e">
        <f>VLOOKUP($B42,$B$49:$I70,C$46,0)</f>
        <v>#N/A</v>
      </c>
      <c r="D42" s="1" t="e">
        <f>VLOOKUP($B42,$B$49:$I70,D$46,0)</f>
        <v>#N/A</v>
      </c>
      <c r="E42" s="1" t="e">
        <f>VLOOKUP($B42,$B$49:$I70,E$46,0)</f>
        <v>#N/A</v>
      </c>
      <c r="F42" s="1" t="e">
        <f>VLOOKUP($B42,$B$49:$I70,F$46,0)</f>
        <v>#N/A</v>
      </c>
      <c r="G42" s="1" t="e">
        <f>VLOOKUP($B42,$B$49:$I70,G$46,0)</f>
        <v>#N/A</v>
      </c>
      <c r="H42" s="1" t="e">
        <f>VLOOKUP($B42,$B$49:$I70,H$46,0)</f>
        <v>#N/A</v>
      </c>
      <c r="I42" s="1" t="e">
        <f>VLOOKUP($B42,$B$49:$I70,I$46,0)</f>
        <v>#N/A</v>
      </c>
      <c r="P42" s="1" t="str">
        <f>IFERROR(RANK(I42,$I$42:$I$44,0),"")</f>
        <v/>
      </c>
      <c r="R42" s="1" t="e">
        <f>B42</f>
        <v>#N/A</v>
      </c>
      <c r="S42" s="1" t="e">
        <f>C42</f>
        <v>#N/A</v>
      </c>
      <c r="T42" s="1" t="e">
        <f>D42</f>
        <v>#N/A</v>
      </c>
      <c r="U42" s="1" t="e">
        <f>E42</f>
        <v>#N/A</v>
      </c>
      <c r="V42" s="1" t="e">
        <f>F42</f>
        <v>#N/A</v>
      </c>
      <c r="W42" s="1" t="e">
        <f t="shared" si="36"/>
        <v>#N/A</v>
      </c>
      <c r="X42" s="1" t="e">
        <f t="shared" si="37"/>
        <v>#N/A</v>
      </c>
      <c r="AE42" s="25">
        <f>O41-P41</f>
        <v>3</v>
      </c>
      <c r="AF42" s="12">
        <v>1</v>
      </c>
      <c r="AG42" s="13"/>
      <c r="AH42" s="13" t="str">
        <f t="shared" ref="AH42:AM44" si="40">IFERROR(VLOOKUP($AF42,$P$42:$W$44,AH$29,0),"")</f>
        <v/>
      </c>
      <c r="AI42" s="13" t="str">
        <f t="shared" si="40"/>
        <v/>
      </c>
      <c r="AJ42" s="13" t="str">
        <f t="shared" si="40"/>
        <v/>
      </c>
      <c r="AK42" s="13" t="str">
        <f t="shared" si="40"/>
        <v/>
      </c>
      <c r="AL42" s="13" t="str">
        <f t="shared" si="40"/>
        <v/>
      </c>
      <c r="AM42" s="14" t="str">
        <f t="shared" si="40"/>
        <v/>
      </c>
    </row>
    <row r="43" spans="2:39" hidden="1" x14ac:dyDescent="0.25">
      <c r="B43" s="1" t="e">
        <f>'Calc Inscription Joueurs'!U5</f>
        <v>#N/A</v>
      </c>
      <c r="C43" s="1" t="e">
        <f>VLOOKUP($B43,$B$49:$I71,C$46,0)</f>
        <v>#N/A</v>
      </c>
      <c r="D43" s="1" t="e">
        <f>VLOOKUP($B43,$B$49:$I71,D$46,0)</f>
        <v>#N/A</v>
      </c>
      <c r="E43" s="1" t="e">
        <f>VLOOKUP($B43,$B$49:$I71,E$46,0)</f>
        <v>#N/A</v>
      </c>
      <c r="F43" s="1" t="e">
        <f>VLOOKUP($B43,$B$49:$I71,F$46,0)</f>
        <v>#N/A</v>
      </c>
      <c r="G43" s="1" t="e">
        <f>VLOOKUP($B43,$B$49:$I71,G$46,0)</f>
        <v>#N/A</v>
      </c>
      <c r="H43" s="1" t="e">
        <f>VLOOKUP($B43,$B$49:$I71,H$46,0)</f>
        <v>#N/A</v>
      </c>
      <c r="I43" s="1" t="e">
        <f>VLOOKUP($B43,$B$49:$I71,I$46,0)</f>
        <v>#N/A</v>
      </c>
      <c r="K43" s="1" t="str">
        <f>'Calc Inscription Joueurs'!U3</f>
        <v>POULE 3</v>
      </c>
      <c r="P43" s="1" t="str">
        <f>IFERROR(RANK(I43,$I$42:$I$44,0),"")</f>
        <v/>
      </c>
      <c r="R43" s="1" t="e">
        <f>B43</f>
        <v>#N/A</v>
      </c>
      <c r="S43" s="1" t="e">
        <f t="shared" ref="S43:V44" si="41">C43</f>
        <v>#N/A</v>
      </c>
      <c r="T43" s="1" t="e">
        <f t="shared" si="41"/>
        <v>#N/A</v>
      </c>
      <c r="U43" s="1" t="e">
        <f t="shared" si="41"/>
        <v>#N/A</v>
      </c>
      <c r="V43" s="1" t="e">
        <f t="shared" si="41"/>
        <v>#N/A</v>
      </c>
      <c r="W43" s="1" t="e">
        <f t="shared" si="36"/>
        <v>#N/A</v>
      </c>
      <c r="X43" s="1" t="e">
        <f t="shared" si="37"/>
        <v>#N/A</v>
      </c>
      <c r="AC43" s="1" t="str">
        <f>K43</f>
        <v>POULE 3</v>
      </c>
      <c r="AF43" s="15">
        <v>2</v>
      </c>
      <c r="AH43" s="1" t="str">
        <f t="shared" si="40"/>
        <v/>
      </c>
      <c r="AI43" s="1" t="str">
        <f t="shared" si="40"/>
        <v/>
      </c>
      <c r="AJ43" s="1" t="str">
        <f t="shared" si="40"/>
        <v/>
      </c>
      <c r="AK43" s="1" t="str">
        <f t="shared" si="40"/>
        <v/>
      </c>
      <c r="AL43" s="1" t="str">
        <f t="shared" si="40"/>
        <v/>
      </c>
      <c r="AM43" s="16" t="str">
        <f t="shared" si="40"/>
        <v/>
      </c>
    </row>
    <row r="44" spans="2:39" ht="15.75" hidden="1" thickBot="1" x14ac:dyDescent="0.3">
      <c r="B44" s="1" t="e">
        <f>'Calc Inscription Joueurs'!U6</f>
        <v>#N/A</v>
      </c>
      <c r="C44" s="1" t="e">
        <f>VLOOKUP($B44,$B$49:$I72,C$46,0)</f>
        <v>#N/A</v>
      </c>
      <c r="D44" s="1" t="e">
        <f>VLOOKUP($B44,$B$49:$I72,D$46,0)</f>
        <v>#N/A</v>
      </c>
      <c r="E44" s="1" t="e">
        <f>VLOOKUP($B44,$B$49:$I72,E$46,0)</f>
        <v>#N/A</v>
      </c>
      <c r="F44" s="1" t="e">
        <f>VLOOKUP($B44,$B$49:$I72,F$46,0)</f>
        <v>#N/A</v>
      </c>
      <c r="G44" s="1" t="e">
        <f>VLOOKUP($B44,$B$49:$I72,G$46,0)</f>
        <v>#N/A</v>
      </c>
      <c r="H44" s="1" t="e">
        <f>VLOOKUP($B44,$B$49:$I72,H$46,0)</f>
        <v>#N/A</v>
      </c>
      <c r="I44" s="1" t="e">
        <f>VLOOKUP($B44,$B$49:$I72,I$46,0)</f>
        <v>#N/A</v>
      </c>
      <c r="P44" s="1" t="str">
        <f>IFERROR(RANK(I44,$I$42:$I$44,0),"")</f>
        <v/>
      </c>
      <c r="R44" s="1" t="e">
        <f>B44</f>
        <v>#N/A</v>
      </c>
      <c r="S44" s="1" t="e">
        <f t="shared" si="41"/>
        <v>#N/A</v>
      </c>
      <c r="T44" s="1" t="e">
        <f t="shared" si="41"/>
        <v>#N/A</v>
      </c>
      <c r="U44" s="1" t="e">
        <f t="shared" si="41"/>
        <v>#N/A</v>
      </c>
      <c r="V44" s="1" t="e">
        <f t="shared" si="41"/>
        <v>#N/A</v>
      </c>
      <c r="W44" s="1" t="e">
        <f t="shared" si="36"/>
        <v>#N/A</v>
      </c>
      <c r="X44" s="1" t="e">
        <f t="shared" si="37"/>
        <v>#N/A</v>
      </c>
      <c r="AF44" s="17">
        <f>IF(AE42&lt;3,"",3)</f>
        <v>3</v>
      </c>
      <c r="AG44" s="18"/>
      <c r="AH44" s="18" t="str">
        <f t="shared" si="40"/>
        <v/>
      </c>
      <c r="AI44" s="18" t="str">
        <f t="shared" si="40"/>
        <v/>
      </c>
      <c r="AJ44" s="18" t="str">
        <f t="shared" si="40"/>
        <v/>
      </c>
      <c r="AK44" s="18" t="str">
        <f t="shared" si="40"/>
        <v/>
      </c>
      <c r="AL44" s="18" t="str">
        <f t="shared" si="40"/>
        <v/>
      </c>
      <c r="AM44" s="19" t="str">
        <f t="shared" si="40"/>
        <v/>
      </c>
    </row>
    <row r="45" spans="2:39" hidden="1" x14ac:dyDescent="0.25"/>
    <row r="46" spans="2:39" x14ac:dyDescent="0.25">
      <c r="C46" s="25">
        <v>2</v>
      </c>
      <c r="D46" s="25">
        <v>3</v>
      </c>
      <c r="E46" s="25">
        <v>4</v>
      </c>
      <c r="F46" s="25">
        <v>5</v>
      </c>
      <c r="G46" s="25">
        <v>6</v>
      </c>
      <c r="H46" s="25">
        <v>7</v>
      </c>
      <c r="I46" s="25">
        <v>8</v>
      </c>
    </row>
    <row r="47" spans="2:39" x14ac:dyDescent="0.25">
      <c r="O47" s="25">
        <f>COUNTA(P49:P57)</f>
        <v>9</v>
      </c>
      <c r="P47" s="25">
        <f>COUNTBLANK(P49:P57)</f>
        <v>9</v>
      </c>
      <c r="Q47" s="25"/>
    </row>
    <row r="48" spans="2:39" x14ac:dyDescent="0.25">
      <c r="C48" s="1">
        <v>1</v>
      </c>
      <c r="D48" s="1">
        <v>1</v>
      </c>
      <c r="E48" s="25">
        <v>100</v>
      </c>
      <c r="F48" s="25">
        <v>100000</v>
      </c>
      <c r="I48" s="25">
        <v>100000</v>
      </c>
      <c r="AH48" s="25">
        <v>3</v>
      </c>
      <c r="AI48" s="25">
        <v>4</v>
      </c>
      <c r="AJ48" s="25">
        <v>5</v>
      </c>
      <c r="AK48" s="25">
        <v>6</v>
      </c>
      <c r="AL48" s="25">
        <v>7</v>
      </c>
      <c r="AM48" s="25">
        <v>8</v>
      </c>
    </row>
    <row r="49" spans="1:39" x14ac:dyDescent="0.25">
      <c r="A49" s="1">
        <v>8.9999999999999998E-4</v>
      </c>
      <c r="B49" s="1" t="e">
        <f>I5</f>
        <v>#N/A</v>
      </c>
      <c r="C49" s="206" t="e">
        <f>M5</f>
        <v>#N/A</v>
      </c>
      <c r="D49" s="206">
        <f>N5</f>
        <v>0</v>
      </c>
      <c r="E49" s="206">
        <f>O5</f>
        <v>0</v>
      </c>
      <c r="F49" s="206" t="e">
        <f>P5</f>
        <v>#N/A</v>
      </c>
      <c r="G49" s="206"/>
      <c r="H49" s="20" t="e">
        <f>C49/D49</f>
        <v>#N/A</v>
      </c>
      <c r="I49" s="1" t="e">
        <f>IF(B49="","",IFERROR((E49*$E$48)-(D49*$D$48)+(C49*$C$48)+(F49*$F$48)+A49,""))</f>
        <v>#N/A</v>
      </c>
      <c r="P49" s="1" t="str">
        <f t="shared" ref="P49:P57" si="42">IFERROR(RANK(I49,$I$49:$I$57,0),"")</f>
        <v/>
      </c>
      <c r="R49" s="1" t="e">
        <f>B49</f>
        <v>#N/A</v>
      </c>
      <c r="S49" s="1" t="e">
        <f>C49</f>
        <v>#N/A</v>
      </c>
      <c r="T49" s="1">
        <f>D49</f>
        <v>0</v>
      </c>
      <c r="U49" s="1">
        <f>E49</f>
        <v>0</v>
      </c>
      <c r="V49" s="1" t="e">
        <f>F49</f>
        <v>#N/A</v>
      </c>
      <c r="W49" s="1" t="e">
        <f>H49</f>
        <v>#N/A</v>
      </c>
      <c r="X49" s="1" t="e">
        <f>I49</f>
        <v>#N/A</v>
      </c>
      <c r="AE49" s="25">
        <f>O47-P47</f>
        <v>0</v>
      </c>
      <c r="AF49" s="1" t="str">
        <f>IF(AE49&lt;1,"",1)</f>
        <v/>
      </c>
      <c r="AH49" s="1" t="str">
        <f>IF(AE49&lt;1,"",IFERROR(VLOOKUP($AF49,$P$49:$W$57,AH$48,0),""))</f>
        <v/>
      </c>
      <c r="AI49" s="1" t="str">
        <f>IF(AH49="","",IFERROR(VLOOKUP($AF49,$P$49:$W$57,AI$48,0),""))</f>
        <v/>
      </c>
      <c r="AJ49" s="1" t="str">
        <f t="shared" ref="AJ49:AJ57" si="43">IF(AH49="","",IFERROR(VLOOKUP($AF49,$P$49:$W$57,AJ$48,0),""))</f>
        <v/>
      </c>
      <c r="AK49" s="1" t="str">
        <f t="shared" ref="AK49:AK57" si="44">IF(AH49="","",IFERROR(VLOOKUP($AF49,$P$49:$W$57,AK$48,0),""))</f>
        <v/>
      </c>
      <c r="AL49" s="206" t="str">
        <f t="shared" ref="AL49:AL57" si="45">IF(AH49="","",IFERROR(VLOOKUP($AF49,$P$49:$W$57,AL$48,0),""))</f>
        <v/>
      </c>
      <c r="AM49" s="208" t="str">
        <f t="shared" ref="AM49:AM57" si="46">IF(AH49="","",IFERROR(VLOOKUP($AF49,$P$49:$W$57,AM$48,0),""))</f>
        <v/>
      </c>
    </row>
    <row r="50" spans="1:39" x14ac:dyDescent="0.25">
      <c r="A50" s="1">
        <v>8.0000000000000004E-4</v>
      </c>
      <c r="B50" s="1" t="e">
        <f>I11</f>
        <v>#N/A</v>
      </c>
      <c r="C50" s="206" t="e">
        <f>M11</f>
        <v>#N/A</v>
      </c>
      <c r="D50" s="206">
        <f>N11</f>
        <v>0</v>
      </c>
      <c r="E50" s="206">
        <f>O11</f>
        <v>0</v>
      </c>
      <c r="F50" s="206" t="e">
        <f>P11</f>
        <v>#N/A</v>
      </c>
      <c r="G50" s="206"/>
      <c r="H50" s="20" t="e">
        <f t="shared" ref="H50:H57" si="47">C50/D50</f>
        <v>#N/A</v>
      </c>
      <c r="I50" s="1" t="e">
        <f t="shared" ref="I50:I57" si="48">IF(B50="","",IFERROR((E50*$E$48)-(D50*$D$48)+(C50*$C$48)+(F50*$F$48)+A50,""))</f>
        <v>#N/A</v>
      </c>
      <c r="P50" s="1" t="str">
        <f t="shared" si="42"/>
        <v/>
      </c>
      <c r="R50" s="1" t="e">
        <f t="shared" ref="R50:R57" si="49">B50</f>
        <v>#N/A</v>
      </c>
      <c r="S50" s="1" t="e">
        <f t="shared" ref="S50:V54" si="50">C50</f>
        <v>#N/A</v>
      </c>
      <c r="T50" s="1">
        <f t="shared" si="50"/>
        <v>0</v>
      </c>
      <c r="U50" s="1">
        <f t="shared" si="50"/>
        <v>0</v>
      </c>
      <c r="V50" s="206" t="e">
        <f>F50</f>
        <v>#N/A</v>
      </c>
      <c r="W50" s="1" t="e">
        <f t="shared" ref="W50:W55" si="51">H50</f>
        <v>#N/A</v>
      </c>
      <c r="X50" s="1" t="e">
        <f t="shared" ref="X50:X57" si="52">I50</f>
        <v>#N/A</v>
      </c>
      <c r="AF50" s="1" t="str">
        <f>IF(AE49&lt;2,"",2)</f>
        <v/>
      </c>
      <c r="AH50" s="1" t="str">
        <f>IF(AE49&lt;2,"",IFERROR(VLOOKUP($AF50,$P$49:$W$57,AH$48,0),""))</f>
        <v/>
      </c>
      <c r="AI50" s="1" t="str">
        <f t="shared" ref="AI50:AI57" si="53">IF(AH50="","",IFERROR(VLOOKUP($AF50,$P$49:$W$57,AI$48,0),""))</f>
        <v/>
      </c>
      <c r="AJ50" s="1" t="str">
        <f t="shared" si="43"/>
        <v/>
      </c>
      <c r="AK50" s="1" t="str">
        <f t="shared" si="44"/>
        <v/>
      </c>
      <c r="AL50" s="206" t="str">
        <f t="shared" si="45"/>
        <v/>
      </c>
      <c r="AM50" s="208" t="str">
        <f t="shared" si="46"/>
        <v/>
      </c>
    </row>
    <row r="51" spans="1:39" x14ac:dyDescent="0.25">
      <c r="A51" s="1">
        <v>6.9999999999999999E-4</v>
      </c>
      <c r="B51" s="1" t="e">
        <f>Y5</f>
        <v>#N/A</v>
      </c>
      <c r="C51" s="206" t="e">
        <f>AC5</f>
        <v>#N/A</v>
      </c>
      <c r="D51" s="206">
        <f>AD5</f>
        <v>0</v>
      </c>
      <c r="E51" s="206" t="e">
        <f>AE5</f>
        <v>#N/A</v>
      </c>
      <c r="F51" s="206" t="e">
        <f>AF5</f>
        <v>#N/A</v>
      </c>
      <c r="G51" s="206"/>
      <c r="H51" s="20" t="e">
        <f t="shared" si="47"/>
        <v>#N/A</v>
      </c>
      <c r="I51" s="1" t="e">
        <f t="shared" si="48"/>
        <v>#N/A</v>
      </c>
      <c r="P51" s="1" t="str">
        <f t="shared" si="42"/>
        <v/>
      </c>
      <c r="R51" s="1" t="e">
        <f t="shared" si="49"/>
        <v>#N/A</v>
      </c>
      <c r="S51" s="1" t="e">
        <f t="shared" si="50"/>
        <v>#N/A</v>
      </c>
      <c r="T51" s="1">
        <f t="shared" si="50"/>
        <v>0</v>
      </c>
      <c r="U51" s="1" t="e">
        <f t="shared" si="50"/>
        <v>#N/A</v>
      </c>
      <c r="V51" s="1" t="e">
        <f t="shared" si="50"/>
        <v>#N/A</v>
      </c>
      <c r="W51" s="1" t="e">
        <f t="shared" si="51"/>
        <v>#N/A</v>
      </c>
      <c r="X51" s="1" t="e">
        <f t="shared" si="52"/>
        <v>#N/A</v>
      </c>
      <c r="AF51" s="1" t="str">
        <f>IF(AE49&lt;3,"",3)</f>
        <v/>
      </c>
      <c r="AH51" s="1" t="str">
        <f>IF(AE49&lt;3,"",IFERROR(VLOOKUP($AF51,$P$49:$W$57,AH$48,0),""))</f>
        <v/>
      </c>
      <c r="AI51" s="1" t="str">
        <f t="shared" si="53"/>
        <v/>
      </c>
      <c r="AJ51" s="1" t="str">
        <f t="shared" si="43"/>
        <v/>
      </c>
      <c r="AK51" s="1" t="str">
        <f t="shared" si="44"/>
        <v/>
      </c>
      <c r="AL51" s="206" t="str">
        <f t="shared" si="45"/>
        <v/>
      </c>
      <c r="AM51" s="208" t="str">
        <f t="shared" si="46"/>
        <v/>
      </c>
    </row>
    <row r="52" spans="1:39" x14ac:dyDescent="0.25">
      <c r="A52" s="1">
        <v>5.9999999999999995E-4</v>
      </c>
      <c r="B52" s="1" t="e">
        <f>Y11</f>
        <v>#N/A</v>
      </c>
      <c r="C52" s="206" t="e">
        <f>AC11</f>
        <v>#N/A</v>
      </c>
      <c r="D52" s="206">
        <f>AD11</f>
        <v>0</v>
      </c>
      <c r="E52" s="206" t="e">
        <f>AE11</f>
        <v>#N/A</v>
      </c>
      <c r="F52" s="206" t="e">
        <f>AF11</f>
        <v>#N/A</v>
      </c>
      <c r="G52" s="206"/>
      <c r="H52" s="20" t="e">
        <f t="shared" si="47"/>
        <v>#N/A</v>
      </c>
      <c r="I52" s="1" t="e">
        <f t="shared" si="48"/>
        <v>#N/A</v>
      </c>
      <c r="P52" s="1" t="str">
        <f t="shared" si="42"/>
        <v/>
      </c>
      <c r="R52" s="1" t="e">
        <f t="shared" si="49"/>
        <v>#N/A</v>
      </c>
      <c r="S52" s="1" t="e">
        <f t="shared" si="50"/>
        <v>#N/A</v>
      </c>
      <c r="T52" s="1">
        <f t="shared" si="50"/>
        <v>0</v>
      </c>
      <c r="U52" s="1" t="e">
        <f t="shared" si="50"/>
        <v>#N/A</v>
      </c>
      <c r="V52" s="1" t="e">
        <f t="shared" si="50"/>
        <v>#N/A</v>
      </c>
      <c r="W52" s="1" t="e">
        <f t="shared" si="51"/>
        <v>#N/A</v>
      </c>
      <c r="X52" s="1" t="e">
        <f t="shared" si="52"/>
        <v>#N/A</v>
      </c>
      <c r="AF52" s="1" t="str">
        <f>IF(AE49&lt;4,"",4)</f>
        <v/>
      </c>
      <c r="AH52" s="1" t="str">
        <f>IF(AE49&lt;4,"",IFERROR(VLOOKUP($AF52,$P$49:$W$57,AH$48,0),""))</f>
        <v/>
      </c>
      <c r="AI52" s="1" t="str">
        <f t="shared" si="53"/>
        <v/>
      </c>
      <c r="AJ52" s="1" t="str">
        <f t="shared" si="43"/>
        <v/>
      </c>
      <c r="AK52" s="1" t="str">
        <f t="shared" si="44"/>
        <v/>
      </c>
      <c r="AL52" s="206" t="str">
        <f t="shared" si="45"/>
        <v/>
      </c>
      <c r="AM52" s="208" t="str">
        <f t="shared" si="46"/>
        <v/>
      </c>
    </row>
    <row r="53" spans="1:39" x14ac:dyDescent="0.25">
      <c r="A53" s="1">
        <v>5.0000000000000001E-4</v>
      </c>
      <c r="B53" s="1" t="e">
        <f>AO5</f>
        <v>#N/A</v>
      </c>
      <c r="C53" s="1" t="e">
        <f>IF($B$53="","",AS5)</f>
        <v>#N/A</v>
      </c>
      <c r="D53" s="1" t="e">
        <f>IF($B$53="","",AT5)</f>
        <v>#N/A</v>
      </c>
      <c r="E53" s="1" t="e">
        <f>IF($B$53="","",AU5)</f>
        <v>#N/A</v>
      </c>
      <c r="F53" s="1" t="e">
        <f>IF($B$53="","",AV5)</f>
        <v>#N/A</v>
      </c>
      <c r="H53" s="20" t="e">
        <f t="shared" si="47"/>
        <v>#N/A</v>
      </c>
      <c r="I53" s="1" t="e">
        <f t="shared" si="48"/>
        <v>#N/A</v>
      </c>
      <c r="P53" s="1" t="str">
        <f t="shared" si="42"/>
        <v/>
      </c>
      <c r="R53" s="1" t="e">
        <f t="shared" si="49"/>
        <v>#N/A</v>
      </c>
      <c r="S53" s="1" t="e">
        <f t="shared" si="50"/>
        <v>#N/A</v>
      </c>
      <c r="T53" s="1" t="e">
        <f t="shared" si="50"/>
        <v>#N/A</v>
      </c>
      <c r="U53" s="1" t="e">
        <f t="shared" si="50"/>
        <v>#N/A</v>
      </c>
      <c r="V53" s="1" t="e">
        <f t="shared" si="50"/>
        <v>#N/A</v>
      </c>
      <c r="W53" s="1" t="e">
        <f t="shared" si="51"/>
        <v>#N/A</v>
      </c>
      <c r="X53" s="1" t="e">
        <f t="shared" si="52"/>
        <v>#N/A</v>
      </c>
      <c r="AF53" s="1" t="str">
        <f>IF(AE49&lt;5,"",5)</f>
        <v/>
      </c>
      <c r="AH53" s="1" t="str">
        <f>IF(AE49&lt;5,"",IFERROR(VLOOKUP($AF53,$P$49:$W$57,AH$48,0),""))</f>
        <v/>
      </c>
      <c r="AI53" s="1" t="str">
        <f t="shared" si="53"/>
        <v/>
      </c>
      <c r="AJ53" s="1" t="str">
        <f t="shared" si="43"/>
        <v/>
      </c>
      <c r="AK53" s="1" t="str">
        <f t="shared" si="44"/>
        <v/>
      </c>
      <c r="AL53" s="206" t="str">
        <f t="shared" si="45"/>
        <v/>
      </c>
      <c r="AM53" s="208" t="str">
        <f t="shared" si="46"/>
        <v/>
      </c>
    </row>
    <row r="54" spans="1:39" x14ac:dyDescent="0.25">
      <c r="A54" s="1">
        <v>4.0000000000000002E-4</v>
      </c>
      <c r="B54" s="1" t="e">
        <f>AO11</f>
        <v>#N/A</v>
      </c>
      <c r="C54" s="1" t="e">
        <f>IF(B54="","",AS11)</f>
        <v>#N/A</v>
      </c>
      <c r="D54" s="1" t="e">
        <f>IF(C54="","",AT11)</f>
        <v>#N/A</v>
      </c>
      <c r="E54" s="1" t="e">
        <f>IF(D54="","",AU11)</f>
        <v>#N/A</v>
      </c>
      <c r="F54" s="1" t="e">
        <f>IF(E54="","",AV11)</f>
        <v>#N/A</v>
      </c>
      <c r="H54" s="20" t="e">
        <f t="shared" si="47"/>
        <v>#N/A</v>
      </c>
      <c r="I54" s="1" t="e">
        <f t="shared" si="48"/>
        <v>#N/A</v>
      </c>
      <c r="P54" s="1" t="str">
        <f t="shared" si="42"/>
        <v/>
      </c>
      <c r="R54" s="1" t="e">
        <f t="shared" si="49"/>
        <v>#N/A</v>
      </c>
      <c r="S54" s="1" t="e">
        <f t="shared" si="50"/>
        <v>#N/A</v>
      </c>
      <c r="T54" s="1" t="e">
        <f t="shared" si="50"/>
        <v>#N/A</v>
      </c>
      <c r="U54" s="1" t="e">
        <f t="shared" si="50"/>
        <v>#N/A</v>
      </c>
      <c r="V54" s="1" t="e">
        <f t="shared" si="50"/>
        <v>#N/A</v>
      </c>
      <c r="W54" s="1" t="e">
        <f t="shared" si="51"/>
        <v>#N/A</v>
      </c>
      <c r="X54" s="1" t="e">
        <f t="shared" si="52"/>
        <v>#N/A</v>
      </c>
      <c r="AF54" s="1" t="str">
        <f>IF(AE49&lt;6,"",6)</f>
        <v/>
      </c>
      <c r="AH54" s="1" t="str">
        <f>IF(AE49&lt;6,"",IFERROR(VLOOKUP($AF54,$P$49:$W$57,AH$48,0),""))</f>
        <v/>
      </c>
      <c r="AI54" s="1" t="str">
        <f t="shared" si="53"/>
        <v/>
      </c>
      <c r="AJ54" s="1" t="str">
        <f t="shared" si="43"/>
        <v/>
      </c>
      <c r="AK54" s="1" t="str">
        <f t="shared" si="44"/>
        <v/>
      </c>
      <c r="AL54" s="206" t="str">
        <f t="shared" si="45"/>
        <v/>
      </c>
      <c r="AM54" s="208" t="str">
        <f t="shared" si="46"/>
        <v/>
      </c>
    </row>
    <row r="55" spans="1:39" x14ac:dyDescent="0.25">
      <c r="A55" s="1">
        <v>2.9999999999999997E-4</v>
      </c>
      <c r="B55" s="1" t="e">
        <f>IF(O17="","",I17)</f>
        <v>#N/A</v>
      </c>
      <c r="C55" s="1" t="e">
        <f>IF(B55="","",M17)</f>
        <v>#N/A</v>
      </c>
      <c r="D55" s="1" t="e">
        <f>IF(C55="","",N17)</f>
        <v>#N/A</v>
      </c>
      <c r="E55" s="1" t="e">
        <f>IF(D55="","",O17)</f>
        <v>#N/A</v>
      </c>
      <c r="F55" s="1" t="e">
        <f>IF(E55="","",P17)</f>
        <v>#N/A</v>
      </c>
      <c r="H55" s="20" t="e">
        <f t="shared" si="47"/>
        <v>#N/A</v>
      </c>
      <c r="I55" s="1" t="e">
        <f t="shared" si="48"/>
        <v>#N/A</v>
      </c>
      <c r="P55" s="1" t="str">
        <f t="shared" si="42"/>
        <v/>
      </c>
      <c r="R55" s="1" t="e">
        <f t="shared" si="49"/>
        <v>#N/A</v>
      </c>
      <c r="S55" s="1" t="e">
        <f t="shared" ref="S55:V57" si="54">C55</f>
        <v>#N/A</v>
      </c>
      <c r="T55" s="1" t="e">
        <f t="shared" si="54"/>
        <v>#N/A</v>
      </c>
      <c r="U55" s="1" t="e">
        <f t="shared" si="54"/>
        <v>#N/A</v>
      </c>
      <c r="V55" s="1" t="e">
        <f t="shared" si="54"/>
        <v>#N/A</v>
      </c>
      <c r="W55" s="1" t="e">
        <f t="shared" si="51"/>
        <v>#N/A</v>
      </c>
      <c r="X55" s="1" t="e">
        <f t="shared" si="52"/>
        <v>#N/A</v>
      </c>
      <c r="AF55" s="1" t="str">
        <f>IF(AE49&lt;7,"",7)</f>
        <v/>
      </c>
      <c r="AH55" s="1" t="str">
        <f>IF(AE49&lt;7,"",IFERROR(VLOOKUP($AF55,$P$49:$W$57,AH$48,0),""))</f>
        <v/>
      </c>
      <c r="AI55" s="1" t="str">
        <f t="shared" si="53"/>
        <v/>
      </c>
      <c r="AJ55" s="1" t="str">
        <f t="shared" si="43"/>
        <v/>
      </c>
      <c r="AK55" s="1" t="str">
        <f t="shared" si="44"/>
        <v/>
      </c>
      <c r="AL55" s="206" t="str">
        <f t="shared" si="45"/>
        <v/>
      </c>
      <c r="AM55" s="208" t="str">
        <f t="shared" si="46"/>
        <v/>
      </c>
    </row>
    <row r="56" spans="1:39" x14ac:dyDescent="0.25">
      <c r="A56" s="1">
        <v>2.0000000000000001E-4</v>
      </c>
      <c r="B56" s="1" t="e">
        <f>Y17</f>
        <v>#N/A</v>
      </c>
      <c r="C56" s="206" t="e">
        <f>AC17</f>
        <v>#N/A</v>
      </c>
      <c r="D56" s="206" t="e">
        <f>AD17</f>
        <v>#N/A</v>
      </c>
      <c r="E56" s="206" t="e">
        <f>AE17</f>
        <v>#N/A</v>
      </c>
      <c r="F56" s="206" t="e">
        <f>AF17</f>
        <v>#N/A</v>
      </c>
      <c r="G56" s="206"/>
      <c r="H56" s="20" t="e">
        <f t="shared" si="47"/>
        <v>#N/A</v>
      </c>
      <c r="I56" s="1" t="e">
        <f t="shared" si="48"/>
        <v>#N/A</v>
      </c>
      <c r="P56" s="1" t="str">
        <f t="shared" si="42"/>
        <v/>
      </c>
      <c r="R56" s="1" t="e">
        <f t="shared" si="49"/>
        <v>#N/A</v>
      </c>
      <c r="S56" s="1" t="e">
        <f t="shared" si="54"/>
        <v>#N/A</v>
      </c>
      <c r="T56" s="1" t="e">
        <f t="shared" si="54"/>
        <v>#N/A</v>
      </c>
      <c r="U56" s="1" t="e">
        <f t="shared" si="54"/>
        <v>#N/A</v>
      </c>
      <c r="V56" s="1" t="e">
        <f t="shared" si="54"/>
        <v>#N/A</v>
      </c>
      <c r="W56" s="1" t="e">
        <f>H56</f>
        <v>#N/A</v>
      </c>
      <c r="X56" s="1" t="e">
        <f t="shared" si="52"/>
        <v>#N/A</v>
      </c>
      <c r="AF56" s="1" t="str">
        <f>IF(AE49&lt;8,"",8)</f>
        <v/>
      </c>
      <c r="AH56" s="1" t="str">
        <f>IF(AE49&lt;8,"",IFERROR(VLOOKUP($AF56,$P$49:$W$57,AH$48,0),""))</f>
        <v/>
      </c>
      <c r="AI56" s="1" t="str">
        <f t="shared" si="53"/>
        <v/>
      </c>
      <c r="AJ56" s="1" t="str">
        <f t="shared" si="43"/>
        <v/>
      </c>
      <c r="AK56" s="1" t="str">
        <f t="shared" si="44"/>
        <v/>
      </c>
      <c r="AL56" s="206" t="str">
        <f t="shared" si="45"/>
        <v/>
      </c>
      <c r="AM56" s="208" t="str">
        <f t="shared" si="46"/>
        <v/>
      </c>
    </row>
    <row r="57" spans="1:39" x14ac:dyDescent="0.25">
      <c r="A57" s="1">
        <v>1.0000000000000099E-4</v>
      </c>
      <c r="B57" s="1" t="e">
        <f>AO17</f>
        <v>#N/A</v>
      </c>
      <c r="C57" s="206" t="e">
        <f>AS17</f>
        <v>#N/A</v>
      </c>
      <c r="D57" s="206" t="e">
        <f>AT17</f>
        <v>#N/A</v>
      </c>
      <c r="E57" s="206" t="e">
        <f>AU17</f>
        <v>#N/A</v>
      </c>
      <c r="F57" s="206" t="e">
        <f>AV17</f>
        <v>#N/A</v>
      </c>
      <c r="G57" s="206"/>
      <c r="H57" s="20" t="e">
        <f t="shared" si="47"/>
        <v>#N/A</v>
      </c>
      <c r="I57" s="1" t="e">
        <f t="shared" si="48"/>
        <v>#N/A</v>
      </c>
      <c r="P57" s="1" t="str">
        <f t="shared" si="42"/>
        <v/>
      </c>
      <c r="R57" s="1" t="e">
        <f t="shared" si="49"/>
        <v>#N/A</v>
      </c>
      <c r="S57" s="1" t="e">
        <f t="shared" si="54"/>
        <v>#N/A</v>
      </c>
      <c r="T57" s="1" t="e">
        <f t="shared" si="54"/>
        <v>#N/A</v>
      </c>
      <c r="U57" s="1" t="e">
        <f t="shared" si="54"/>
        <v>#N/A</v>
      </c>
      <c r="V57" s="1" t="e">
        <f t="shared" si="54"/>
        <v>#N/A</v>
      </c>
      <c r="W57" s="1" t="e">
        <f>H57</f>
        <v>#N/A</v>
      </c>
      <c r="X57" s="1" t="e">
        <f t="shared" si="52"/>
        <v>#N/A</v>
      </c>
      <c r="AF57" s="1" t="str">
        <f>IF(AE49&lt;9,"",9)</f>
        <v/>
      </c>
      <c r="AH57" s="1" t="str">
        <f>IF(AE49&lt;9,"",IFERROR(VLOOKUP($AF57,$P$49:$W$57,AH$48,0),""))</f>
        <v/>
      </c>
      <c r="AI57" s="1" t="str">
        <f t="shared" si="53"/>
        <v/>
      </c>
      <c r="AJ57" s="1" t="str">
        <f t="shared" si="43"/>
        <v/>
      </c>
      <c r="AK57" s="1" t="str">
        <f t="shared" si="44"/>
        <v/>
      </c>
      <c r="AL57" s="206" t="str">
        <f t="shared" si="45"/>
        <v/>
      </c>
      <c r="AM57" s="208" t="str">
        <f t="shared" si="46"/>
        <v/>
      </c>
    </row>
    <row r="58" spans="1:39" x14ac:dyDescent="0.25">
      <c r="H58" s="20"/>
      <c r="AM58" s="208"/>
    </row>
    <row r="59" spans="1:39" x14ac:dyDescent="0.25">
      <c r="B59" s="64" t="s">
        <v>271</v>
      </c>
      <c r="H59" s="20"/>
      <c r="O59" s="25">
        <f>COUNTA(P60:P65)</f>
        <v>6</v>
      </c>
      <c r="P59" s="25">
        <f>COUNTBLANK(P60:P65)</f>
        <v>6</v>
      </c>
      <c r="Q59" s="25"/>
      <c r="AM59" s="208"/>
    </row>
    <row r="60" spans="1:39" x14ac:dyDescent="0.25">
      <c r="B60" s="1" t="e">
        <f>I2</f>
        <v>#N/A</v>
      </c>
      <c r="C60" s="206">
        <f>M2</f>
        <v>0</v>
      </c>
      <c r="D60" s="206">
        <f>N2</f>
        <v>0</v>
      </c>
      <c r="E60" s="206">
        <f>O2</f>
        <v>0</v>
      </c>
      <c r="F60" s="206" t="e">
        <f>P2</f>
        <v>#N/A</v>
      </c>
      <c r="H60" s="20" t="e">
        <f t="shared" ref="H60:H65" si="55">C60/D60</f>
        <v>#DIV/0!</v>
      </c>
      <c r="I60" s="1" t="e">
        <f t="shared" ref="I60:I65" si="56">IF(B60="","",IFERROR((E60*$E$48)-(D60*$D$48)+(C60*$C$48)+(F60*$F$48)+A60,""))</f>
        <v>#N/A</v>
      </c>
      <c r="P60" s="1" t="str">
        <f t="shared" ref="P60:P65" si="57">IFERROR(RANK(I60,$I$60:$I$65,0),"")</f>
        <v/>
      </c>
      <c r="R60" s="1" t="e">
        <f t="shared" ref="R60:V65" si="58">B60</f>
        <v>#N/A</v>
      </c>
      <c r="S60" s="1">
        <f t="shared" si="58"/>
        <v>0</v>
      </c>
      <c r="T60" s="1">
        <f t="shared" si="58"/>
        <v>0</v>
      </c>
      <c r="U60" s="1">
        <f t="shared" si="58"/>
        <v>0</v>
      </c>
      <c r="V60" s="1" t="e">
        <f t="shared" si="58"/>
        <v>#N/A</v>
      </c>
      <c r="W60" s="1" t="e">
        <f t="shared" ref="W60:X65" si="59">H60</f>
        <v>#DIV/0!</v>
      </c>
      <c r="X60" s="1" t="e">
        <f t="shared" si="59"/>
        <v>#N/A</v>
      </c>
      <c r="AE60" s="25">
        <f>O59-P59</f>
        <v>0</v>
      </c>
      <c r="AF60" s="1">
        <v>1</v>
      </c>
      <c r="AH60" s="1" t="str">
        <f t="shared" ref="AH60:AM65" si="60">IFERROR(VLOOKUP($AF60,$P$60:$W$65,AH$48,0),"")</f>
        <v/>
      </c>
      <c r="AI60" s="1" t="str">
        <f t="shared" si="60"/>
        <v/>
      </c>
      <c r="AJ60" s="1" t="str">
        <f t="shared" si="60"/>
        <v/>
      </c>
      <c r="AK60" s="1" t="str">
        <f t="shared" si="60"/>
        <v/>
      </c>
      <c r="AL60" s="206" t="str">
        <f t="shared" si="60"/>
        <v/>
      </c>
      <c r="AM60" s="208" t="str">
        <f t="shared" si="60"/>
        <v/>
      </c>
    </row>
    <row r="61" spans="1:39" x14ac:dyDescent="0.25">
      <c r="B61" s="1" t="e">
        <f>I8</f>
        <v>#N/A</v>
      </c>
      <c r="C61" s="206">
        <f>M8</f>
        <v>0</v>
      </c>
      <c r="D61" s="206">
        <f>N8</f>
        <v>0</v>
      </c>
      <c r="E61" s="206">
        <f>O8</f>
        <v>0</v>
      </c>
      <c r="F61" s="206" t="e">
        <f>P8</f>
        <v>#N/A</v>
      </c>
      <c r="H61" s="20" t="e">
        <f t="shared" si="55"/>
        <v>#DIV/0!</v>
      </c>
      <c r="I61" s="1" t="e">
        <f t="shared" si="56"/>
        <v>#N/A</v>
      </c>
      <c r="P61" s="1" t="str">
        <f t="shared" si="57"/>
        <v/>
      </c>
      <c r="R61" s="1" t="e">
        <f t="shared" si="58"/>
        <v>#N/A</v>
      </c>
      <c r="S61" s="1">
        <f t="shared" si="58"/>
        <v>0</v>
      </c>
      <c r="T61" s="1">
        <f t="shared" si="58"/>
        <v>0</v>
      </c>
      <c r="U61" s="1">
        <f t="shared" si="58"/>
        <v>0</v>
      </c>
      <c r="V61" s="1" t="e">
        <f t="shared" si="58"/>
        <v>#N/A</v>
      </c>
      <c r="W61" s="1" t="e">
        <f t="shared" si="59"/>
        <v>#DIV/0!</v>
      </c>
      <c r="X61" s="1" t="e">
        <f t="shared" si="59"/>
        <v>#N/A</v>
      </c>
      <c r="AF61" s="1">
        <v>2</v>
      </c>
      <c r="AH61" s="1" t="str">
        <f t="shared" si="60"/>
        <v/>
      </c>
      <c r="AI61" s="1" t="str">
        <f t="shared" si="60"/>
        <v/>
      </c>
      <c r="AJ61" s="1" t="str">
        <f t="shared" si="60"/>
        <v/>
      </c>
      <c r="AK61" s="1" t="str">
        <f t="shared" si="60"/>
        <v/>
      </c>
      <c r="AL61" s="206" t="str">
        <f t="shared" si="60"/>
        <v/>
      </c>
      <c r="AM61" s="208" t="str">
        <f t="shared" si="60"/>
        <v/>
      </c>
    </row>
    <row r="62" spans="1:39" x14ac:dyDescent="0.25">
      <c r="B62" s="1" t="e">
        <f>Y2</f>
        <v>#N/A</v>
      </c>
      <c r="C62" s="206">
        <f>AC2</f>
        <v>0</v>
      </c>
      <c r="D62" s="206">
        <f>AD2</f>
        <v>0</v>
      </c>
      <c r="E62" s="206">
        <f>AE2</f>
        <v>0</v>
      </c>
      <c r="F62" s="206" t="e">
        <f>AF2</f>
        <v>#N/A</v>
      </c>
      <c r="H62" s="20" t="e">
        <f t="shared" si="55"/>
        <v>#DIV/0!</v>
      </c>
      <c r="I62" s="1" t="e">
        <f t="shared" si="56"/>
        <v>#N/A</v>
      </c>
      <c r="P62" s="1" t="str">
        <f t="shared" si="57"/>
        <v/>
      </c>
      <c r="R62" s="1" t="e">
        <f t="shared" si="58"/>
        <v>#N/A</v>
      </c>
      <c r="S62" s="1">
        <f t="shared" si="58"/>
        <v>0</v>
      </c>
      <c r="T62" s="1">
        <f t="shared" si="58"/>
        <v>0</v>
      </c>
      <c r="U62" s="1">
        <f t="shared" si="58"/>
        <v>0</v>
      </c>
      <c r="V62" s="1" t="e">
        <f t="shared" si="58"/>
        <v>#N/A</v>
      </c>
      <c r="W62" s="1" t="e">
        <f t="shared" si="59"/>
        <v>#DIV/0!</v>
      </c>
      <c r="X62" s="1" t="e">
        <f t="shared" si="59"/>
        <v>#N/A</v>
      </c>
      <c r="AF62" s="1" t="str">
        <f>IF(AE60&lt;3,"",3)</f>
        <v/>
      </c>
      <c r="AH62" s="1" t="str">
        <f t="shared" si="60"/>
        <v/>
      </c>
      <c r="AI62" s="1">
        <f t="shared" si="60"/>
        <v>0</v>
      </c>
      <c r="AJ62" s="1">
        <f t="shared" si="60"/>
        <v>0</v>
      </c>
      <c r="AK62" s="1">
        <f t="shared" si="60"/>
        <v>0</v>
      </c>
      <c r="AL62" s="206" t="str">
        <f t="shared" si="60"/>
        <v/>
      </c>
      <c r="AM62" s="208" t="str">
        <f t="shared" si="60"/>
        <v/>
      </c>
    </row>
    <row r="63" spans="1:39" x14ac:dyDescent="0.25">
      <c r="B63" s="1" t="e">
        <f>Y8</f>
        <v>#N/A</v>
      </c>
      <c r="C63" s="206">
        <f>AC8</f>
        <v>0</v>
      </c>
      <c r="D63" s="206">
        <f>AD8</f>
        <v>0</v>
      </c>
      <c r="E63" s="206">
        <f>AE8</f>
        <v>0</v>
      </c>
      <c r="F63" s="206" t="e">
        <f>AF8</f>
        <v>#N/A</v>
      </c>
      <c r="H63" s="20" t="e">
        <f t="shared" si="55"/>
        <v>#DIV/0!</v>
      </c>
      <c r="I63" s="1" t="e">
        <f t="shared" si="56"/>
        <v>#N/A</v>
      </c>
      <c r="P63" s="1" t="str">
        <f t="shared" si="57"/>
        <v/>
      </c>
      <c r="R63" s="1" t="e">
        <f t="shared" si="58"/>
        <v>#N/A</v>
      </c>
      <c r="S63" s="1">
        <f t="shared" si="58"/>
        <v>0</v>
      </c>
      <c r="T63" s="1">
        <f t="shared" si="58"/>
        <v>0</v>
      </c>
      <c r="U63" s="1">
        <f t="shared" si="58"/>
        <v>0</v>
      </c>
      <c r="V63" s="1" t="e">
        <f t="shared" si="58"/>
        <v>#N/A</v>
      </c>
      <c r="W63" s="1" t="e">
        <f t="shared" si="59"/>
        <v>#DIV/0!</v>
      </c>
      <c r="X63" s="1" t="e">
        <f t="shared" si="59"/>
        <v>#N/A</v>
      </c>
      <c r="AF63" s="1" t="str">
        <f>IF(AE60&lt;4,"",4)</f>
        <v/>
      </c>
      <c r="AH63" s="1" t="str">
        <f t="shared" si="60"/>
        <v/>
      </c>
      <c r="AI63" s="1">
        <f t="shared" si="60"/>
        <v>0</v>
      </c>
      <c r="AJ63" s="1">
        <f t="shared" si="60"/>
        <v>0</v>
      </c>
      <c r="AK63" s="1">
        <f t="shared" si="60"/>
        <v>0</v>
      </c>
      <c r="AL63" s="206" t="str">
        <f t="shared" si="60"/>
        <v/>
      </c>
      <c r="AM63" s="208" t="str">
        <f t="shared" si="60"/>
        <v/>
      </c>
    </row>
    <row r="64" spans="1:39" x14ac:dyDescent="0.25">
      <c r="B64" s="1" t="e">
        <f>AO2</f>
        <v>#N/A</v>
      </c>
      <c r="C64" s="206">
        <f>AS2</f>
        <v>0</v>
      </c>
      <c r="D64" s="206">
        <f>AT2</f>
        <v>0</v>
      </c>
      <c r="E64" s="206">
        <f>AU2</f>
        <v>0</v>
      </c>
      <c r="F64" s="206" t="e">
        <f>AV2</f>
        <v>#N/A</v>
      </c>
      <c r="H64" s="20" t="e">
        <f t="shared" si="55"/>
        <v>#DIV/0!</v>
      </c>
      <c r="I64" s="1" t="e">
        <f t="shared" si="56"/>
        <v>#N/A</v>
      </c>
      <c r="P64" s="1" t="str">
        <f t="shared" si="57"/>
        <v/>
      </c>
      <c r="R64" s="1" t="e">
        <f t="shared" si="58"/>
        <v>#N/A</v>
      </c>
      <c r="S64" s="1">
        <f t="shared" si="58"/>
        <v>0</v>
      </c>
      <c r="T64" s="1">
        <f t="shared" si="58"/>
        <v>0</v>
      </c>
      <c r="U64" s="1">
        <f t="shared" si="58"/>
        <v>0</v>
      </c>
      <c r="V64" s="1" t="e">
        <f t="shared" si="58"/>
        <v>#N/A</v>
      </c>
      <c r="W64" s="1" t="e">
        <f t="shared" si="59"/>
        <v>#DIV/0!</v>
      </c>
      <c r="X64" s="1" t="e">
        <f t="shared" si="59"/>
        <v>#N/A</v>
      </c>
      <c r="AF64" s="1" t="str">
        <f>IF(AE60&lt;5,"",5)</f>
        <v/>
      </c>
      <c r="AH64" s="1" t="str">
        <f t="shared" si="60"/>
        <v/>
      </c>
      <c r="AI64" s="1">
        <f t="shared" si="60"/>
        <v>0</v>
      </c>
      <c r="AJ64" s="1">
        <f t="shared" si="60"/>
        <v>0</v>
      </c>
      <c r="AK64" s="1">
        <f t="shared" si="60"/>
        <v>0</v>
      </c>
      <c r="AL64" s="206" t="str">
        <f t="shared" si="60"/>
        <v/>
      </c>
      <c r="AM64" s="208" t="str">
        <f t="shared" si="60"/>
        <v/>
      </c>
    </row>
    <row r="65" spans="2:39" x14ac:dyDescent="0.25">
      <c r="B65" s="1" t="e">
        <f>AO8</f>
        <v>#N/A</v>
      </c>
      <c r="C65" s="206">
        <f>AS8</f>
        <v>0</v>
      </c>
      <c r="D65" s="206">
        <f>AT8</f>
        <v>0</v>
      </c>
      <c r="E65" s="206">
        <f>AU8</f>
        <v>0</v>
      </c>
      <c r="F65" s="206" t="e">
        <f>AV8</f>
        <v>#N/A</v>
      </c>
      <c r="H65" s="20" t="e">
        <f t="shared" si="55"/>
        <v>#DIV/0!</v>
      </c>
      <c r="I65" s="1" t="e">
        <f t="shared" si="56"/>
        <v>#N/A</v>
      </c>
      <c r="P65" s="1" t="str">
        <f t="shared" si="57"/>
        <v/>
      </c>
      <c r="R65" s="1" t="e">
        <f t="shared" si="58"/>
        <v>#N/A</v>
      </c>
      <c r="S65" s="1">
        <f t="shared" si="58"/>
        <v>0</v>
      </c>
      <c r="T65" s="1">
        <f t="shared" si="58"/>
        <v>0</v>
      </c>
      <c r="U65" s="1">
        <f t="shared" si="58"/>
        <v>0</v>
      </c>
      <c r="V65" s="1" t="e">
        <f t="shared" si="58"/>
        <v>#N/A</v>
      </c>
      <c r="W65" s="1" t="e">
        <f t="shared" si="59"/>
        <v>#DIV/0!</v>
      </c>
      <c r="X65" s="1" t="e">
        <f t="shared" si="59"/>
        <v>#N/A</v>
      </c>
      <c r="AF65" s="1" t="str">
        <f>IF(AE60&lt;6,"",6)</f>
        <v/>
      </c>
      <c r="AH65" s="1" t="str">
        <f t="shared" si="60"/>
        <v/>
      </c>
      <c r="AI65" s="1">
        <f t="shared" si="60"/>
        <v>0</v>
      </c>
      <c r="AJ65" s="1">
        <f t="shared" si="60"/>
        <v>0</v>
      </c>
      <c r="AK65" s="1">
        <f t="shared" si="60"/>
        <v>0</v>
      </c>
      <c r="AL65" s="206" t="str">
        <f t="shared" si="60"/>
        <v/>
      </c>
      <c r="AM65" s="208" t="str">
        <f t="shared" si="60"/>
        <v/>
      </c>
    </row>
  </sheetData>
  <sheetProtection algorithmName="SHA-512" hashValue="OM8LnJ9vSl0WTMwJCmgocPsf8d0pPP50HeaD9B/q3YFHkSNFHlDr7iN+0jsXY9ZarNcbiTACSjwWEoyhlPpjOA==" saltValue="4ABEF3g6SGcOKv74h4EWjg==" spinCount="100000" sheet="1" objects="1" scenarios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BH165"/>
  <sheetViews>
    <sheetView tabSelected="1" topLeftCell="B1" workbookViewId="0">
      <selection activeCell="B3" sqref="B3"/>
    </sheetView>
  </sheetViews>
  <sheetFormatPr baseColWidth="10" defaultRowHeight="15" x14ac:dyDescent="0.25"/>
  <cols>
    <col min="1" max="1" width="17.28515625" style="1" hidden="1" customWidth="1"/>
    <col min="2" max="2" width="20.5703125" style="1" bestFit="1" customWidth="1"/>
    <col min="3" max="3" width="18.85546875" style="1" hidden="1" customWidth="1"/>
    <col min="4" max="4" width="12.42578125" style="1" hidden="1" customWidth="1"/>
    <col min="5" max="5" width="5.5703125" style="1" hidden="1" customWidth="1"/>
    <col min="6" max="6" width="9.5703125" style="1" hidden="1" customWidth="1"/>
    <col min="7" max="7" width="10.42578125" hidden="1" customWidth="1"/>
    <col min="8" max="8" width="34.5703125" style="1" customWidth="1"/>
    <col min="9" max="9" width="20.140625" style="1" hidden="1" customWidth="1"/>
    <col min="10" max="10" width="19.42578125" style="1" hidden="1" customWidth="1"/>
    <col min="11" max="11" width="19" style="1" hidden="1" customWidth="1"/>
    <col min="12" max="12" width="18.140625" style="1" hidden="1" customWidth="1"/>
    <col min="13" max="13" width="17.42578125" style="1" hidden="1" customWidth="1"/>
    <col min="14" max="14" width="20.140625" style="1" hidden="1" customWidth="1"/>
    <col min="15" max="15" width="18.5703125" style="1" hidden="1" customWidth="1"/>
    <col min="16" max="16" width="18.42578125" style="1" hidden="1" customWidth="1"/>
    <col min="17" max="17" width="21.28515625" style="1" hidden="1" customWidth="1"/>
    <col min="18" max="18" width="18.5703125" style="1" hidden="1" customWidth="1"/>
    <col min="19" max="19" width="20.140625" style="1" hidden="1" customWidth="1"/>
    <col min="20" max="20" width="19.42578125" style="1" hidden="1" customWidth="1"/>
    <col min="21" max="21" width="0" style="1" hidden="1" customWidth="1"/>
    <col min="22" max="23" width="13" style="1" hidden="1" customWidth="1"/>
    <col min="24" max="24" width="23.28515625" style="1" hidden="1" customWidth="1"/>
    <col min="25" max="25" width="0" style="1" hidden="1" customWidth="1"/>
    <col min="26" max="26" width="18.28515625" style="1" hidden="1" customWidth="1"/>
    <col min="27" max="55" width="0" style="1" hidden="1" customWidth="1"/>
    <col min="56" max="56" width="14.140625" style="1" hidden="1" customWidth="1"/>
    <col min="57" max="57" width="17.42578125" style="1" hidden="1" customWidth="1"/>
    <col min="58" max="58" width="29.140625" style="1" hidden="1" customWidth="1"/>
    <col min="59" max="59" width="0" style="1" hidden="1" customWidth="1"/>
    <col min="60" max="60" width="17.42578125" style="1" hidden="1" customWidth="1"/>
    <col min="61" max="16384" width="11.42578125" style="1"/>
  </cols>
  <sheetData>
    <row r="1" spans="1:58" ht="15.75" thickBot="1" x14ac:dyDescent="0.3">
      <c r="A1" s="2" t="s">
        <v>304</v>
      </c>
      <c r="B1" s="2" t="s">
        <v>83</v>
      </c>
      <c r="C1" s="2" t="s">
        <v>82</v>
      </c>
      <c r="D1" s="2"/>
      <c r="F1" s="2" t="s">
        <v>103</v>
      </c>
      <c r="G1" s="2" t="s">
        <v>60</v>
      </c>
      <c r="H1" s="2" t="s">
        <v>357</v>
      </c>
      <c r="V1" s="61" t="s">
        <v>128</v>
      </c>
      <c r="Y1" s="1" t="s">
        <v>133</v>
      </c>
      <c r="AD1" s="1" t="s">
        <v>84</v>
      </c>
      <c r="AF1" s="1" t="s">
        <v>85</v>
      </c>
      <c r="AH1" s="1" t="s">
        <v>86</v>
      </c>
      <c r="AJ1" s="1" t="s">
        <v>87</v>
      </c>
      <c r="AL1" s="1" t="s">
        <v>88</v>
      </c>
      <c r="AN1" s="1" t="s">
        <v>89</v>
      </c>
      <c r="AP1" s="1" t="s">
        <v>90</v>
      </c>
      <c r="AR1" s="1" t="s">
        <v>91</v>
      </c>
      <c r="AT1" s="1" t="s">
        <v>94</v>
      </c>
      <c r="AV1" s="1" t="s">
        <v>95</v>
      </c>
      <c r="AX1" s="1" t="s">
        <v>96</v>
      </c>
      <c r="AZ1" s="1" t="s">
        <v>92</v>
      </c>
      <c r="BB1" s="1" t="s">
        <v>93</v>
      </c>
      <c r="BD1" s="12" t="s">
        <v>84</v>
      </c>
      <c r="BE1" s="13" t="s">
        <v>321</v>
      </c>
      <c r="BF1" s="189" t="s">
        <v>323</v>
      </c>
    </row>
    <row r="2" spans="1:58" ht="15.75" customHeight="1" x14ac:dyDescent="0.25">
      <c r="A2" s="1">
        <v>2</v>
      </c>
      <c r="B2" s="1" t="s">
        <v>360</v>
      </c>
      <c r="C2" s="1" t="str">
        <f>H1</f>
        <v>ListeJoueurs</v>
      </c>
      <c r="D2" s="1" t="s">
        <v>325</v>
      </c>
      <c r="E2" s="1" t="s">
        <v>69</v>
      </c>
      <c r="F2" s="1" t="s">
        <v>106</v>
      </c>
      <c r="G2">
        <v>1</v>
      </c>
      <c r="H2" s="61" t="s">
        <v>359</v>
      </c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  <c r="V2" s="62" t="s">
        <v>129</v>
      </c>
      <c r="Y2" s="1" t="s">
        <v>134</v>
      </c>
      <c r="Z2" s="1" t="s">
        <v>135</v>
      </c>
      <c r="AA2" s="1" t="s">
        <v>136</v>
      </c>
      <c r="AD2" s="1" t="s">
        <v>0</v>
      </c>
      <c r="AE2" s="1" t="s">
        <v>143</v>
      </c>
      <c r="AF2" s="1" t="s">
        <v>1</v>
      </c>
      <c r="AG2" s="1" t="s">
        <v>148</v>
      </c>
      <c r="AH2" s="1" t="s">
        <v>2</v>
      </c>
      <c r="AI2" s="1" t="s">
        <v>159</v>
      </c>
      <c r="AJ2" s="1" t="s">
        <v>3</v>
      </c>
      <c r="AK2" s="1" t="s">
        <v>176</v>
      </c>
      <c r="AL2" s="1" t="s">
        <v>4</v>
      </c>
      <c r="AM2" s="1" t="s">
        <v>190</v>
      </c>
      <c r="AN2" s="1" t="s">
        <v>0</v>
      </c>
      <c r="AO2" s="1" t="s">
        <v>203</v>
      </c>
      <c r="AP2" s="1" t="s">
        <v>50</v>
      </c>
      <c r="AQ2" s="1" t="s">
        <v>211</v>
      </c>
      <c r="AR2" s="1" t="s">
        <v>14</v>
      </c>
      <c r="AS2" s="1" t="s">
        <v>187</v>
      </c>
      <c r="AT2" s="1" t="s">
        <v>0</v>
      </c>
      <c r="AU2" s="1" t="s">
        <v>225</v>
      </c>
      <c r="AV2" s="1" t="s">
        <v>9</v>
      </c>
      <c r="AW2" s="1" t="s">
        <v>229</v>
      </c>
      <c r="AX2" s="1" t="s">
        <v>7</v>
      </c>
      <c r="AY2" s="1" t="s">
        <v>235</v>
      </c>
      <c r="AZ2" s="1" t="s">
        <v>0</v>
      </c>
      <c r="BA2" s="1" t="s">
        <v>242</v>
      </c>
      <c r="BB2" s="1" t="s">
        <v>1</v>
      </c>
      <c r="BC2" s="1" t="s">
        <v>251</v>
      </c>
      <c r="BD2" s="15" t="s">
        <v>85</v>
      </c>
      <c r="BE2" s="1" t="s">
        <v>321</v>
      </c>
      <c r="BF2" s="190" t="s">
        <v>323</v>
      </c>
    </row>
    <row r="3" spans="1:58" ht="15" customHeight="1" x14ac:dyDescent="0.25">
      <c r="A3" s="1">
        <v>3</v>
      </c>
      <c r="C3" s="1">
        <f>I1</f>
        <v>0</v>
      </c>
      <c r="D3" s="1" t="s">
        <v>326</v>
      </c>
      <c r="E3" s="1" t="s">
        <v>70</v>
      </c>
      <c r="F3" s="1" t="s">
        <v>104</v>
      </c>
      <c r="G3">
        <v>2</v>
      </c>
      <c r="H3" s="62"/>
      <c r="T3" s="16"/>
      <c r="V3" s="62" t="s">
        <v>130</v>
      </c>
      <c r="X3" s="1" t="str">
        <f>Z3</f>
        <v>BELLINI Jacques</v>
      </c>
      <c r="Y3" s="1">
        <v>14895</v>
      </c>
      <c r="Z3" s="1" t="s">
        <v>8</v>
      </c>
      <c r="AA3" s="1" t="s">
        <v>137</v>
      </c>
      <c r="AB3" s="1" t="s">
        <v>138</v>
      </c>
      <c r="AD3" s="1" t="s">
        <v>8</v>
      </c>
      <c r="AE3" s="1" t="s">
        <v>137</v>
      </c>
      <c r="AF3" s="1" t="s">
        <v>6</v>
      </c>
      <c r="AG3" s="1" t="s">
        <v>150</v>
      </c>
      <c r="AH3" s="1" t="s">
        <v>13</v>
      </c>
      <c r="AI3" s="1" t="s">
        <v>172</v>
      </c>
      <c r="AJ3" s="1" t="s">
        <v>14</v>
      </c>
      <c r="AK3" s="1" t="s">
        <v>178</v>
      </c>
      <c r="AL3" s="1" t="s">
        <v>15</v>
      </c>
      <c r="AM3" s="1" t="s">
        <v>191</v>
      </c>
      <c r="AN3" s="1" t="s">
        <v>8</v>
      </c>
      <c r="AO3" s="1" t="s">
        <v>201</v>
      </c>
      <c r="AP3" s="1" t="s">
        <v>14</v>
      </c>
      <c r="AQ3" s="1" t="s">
        <v>187</v>
      </c>
      <c r="AR3" s="1" t="s">
        <v>24</v>
      </c>
      <c r="AS3" s="1" t="s">
        <v>187</v>
      </c>
      <c r="AT3" s="1" t="s">
        <v>8</v>
      </c>
      <c r="AU3" s="1" t="s">
        <v>219</v>
      </c>
      <c r="AV3" s="1" t="s">
        <v>34</v>
      </c>
      <c r="AW3" s="1" t="s">
        <v>232</v>
      </c>
      <c r="AX3" s="1" t="s">
        <v>10</v>
      </c>
      <c r="AY3" s="1" t="s">
        <v>234</v>
      </c>
      <c r="AZ3" s="1" t="s">
        <v>8</v>
      </c>
      <c r="BA3" s="1" t="s">
        <v>240</v>
      </c>
      <c r="BB3" s="1" t="s">
        <v>2</v>
      </c>
      <c r="BC3" s="1" t="s">
        <v>249</v>
      </c>
      <c r="BD3" s="15" t="s">
        <v>86</v>
      </c>
      <c r="BE3" s="1" t="s">
        <v>321</v>
      </c>
      <c r="BF3" s="190" t="s">
        <v>323</v>
      </c>
    </row>
    <row r="4" spans="1:58" x14ac:dyDescent="0.25">
      <c r="A4" s="1">
        <v>4</v>
      </c>
      <c r="C4" s="1">
        <f>J1</f>
        <v>0</v>
      </c>
      <c r="D4" s="1" t="s">
        <v>108</v>
      </c>
      <c r="E4" s="1" t="s">
        <v>71</v>
      </c>
      <c r="F4" s="1" t="s">
        <v>105</v>
      </c>
      <c r="G4">
        <v>3</v>
      </c>
      <c r="H4" s="62"/>
      <c r="T4" s="16"/>
      <c r="V4" s="62" t="s">
        <v>131</v>
      </c>
      <c r="X4" s="1" t="str">
        <f t="shared" ref="X4:X65" si="0">Z4</f>
        <v>GUCKERT Christian</v>
      </c>
      <c r="Y4" s="1">
        <v>15020</v>
      </c>
      <c r="Z4" s="1" t="s">
        <v>16</v>
      </c>
      <c r="AA4" s="1" t="s">
        <v>139</v>
      </c>
      <c r="AB4" s="1" t="s">
        <v>140</v>
      </c>
      <c r="AD4" s="1" t="s">
        <v>22</v>
      </c>
      <c r="AE4" s="1" t="s">
        <v>144</v>
      </c>
      <c r="AF4" s="1" t="s">
        <v>21</v>
      </c>
      <c r="AG4" s="1" t="s">
        <v>153</v>
      </c>
      <c r="AH4" s="1" t="s">
        <v>23</v>
      </c>
      <c r="AI4" s="1" t="s">
        <v>168</v>
      </c>
      <c r="AJ4" s="1" t="s">
        <v>24</v>
      </c>
      <c r="AK4" s="1" t="s">
        <v>179</v>
      </c>
      <c r="AL4" s="1" t="s">
        <v>7</v>
      </c>
      <c r="AM4" s="1" t="s">
        <v>189</v>
      </c>
      <c r="AN4" s="1" t="s">
        <v>16</v>
      </c>
      <c r="AO4" s="1" t="s">
        <v>200</v>
      </c>
      <c r="AP4" s="1" t="s">
        <v>23</v>
      </c>
      <c r="AQ4" s="1" t="s">
        <v>213</v>
      </c>
      <c r="AR4" s="1" t="s">
        <v>7</v>
      </c>
      <c r="AS4" s="1" t="s">
        <v>216</v>
      </c>
      <c r="AT4" s="1" t="s">
        <v>22</v>
      </c>
      <c r="AU4" s="1" t="s">
        <v>187</v>
      </c>
      <c r="AV4" s="1" t="s">
        <v>7</v>
      </c>
      <c r="AW4" s="1" t="s">
        <v>235</v>
      </c>
      <c r="AX4" s="1" t="s">
        <v>27</v>
      </c>
      <c r="AY4" s="1" t="s">
        <v>236</v>
      </c>
      <c r="AZ4" s="1" t="s">
        <v>6</v>
      </c>
      <c r="BA4" s="1" t="s">
        <v>243</v>
      </c>
      <c r="BB4" s="1" t="s">
        <v>50</v>
      </c>
      <c r="BC4" s="1" t="s">
        <v>255</v>
      </c>
      <c r="BD4" s="15" t="s">
        <v>87</v>
      </c>
      <c r="BE4" s="1" t="s">
        <v>321</v>
      </c>
      <c r="BF4" s="190" t="s">
        <v>323</v>
      </c>
    </row>
    <row r="5" spans="1:58" x14ac:dyDescent="0.25">
      <c r="A5" s="1">
        <v>5</v>
      </c>
      <c r="C5" s="1">
        <f>K1</f>
        <v>0</v>
      </c>
      <c r="D5" s="1" t="s">
        <v>109</v>
      </c>
      <c r="E5" s="1" t="s">
        <v>72</v>
      </c>
      <c r="F5" s="1" t="s">
        <v>119</v>
      </c>
      <c r="G5">
        <v>4</v>
      </c>
      <c r="H5" s="62"/>
      <c r="T5" s="16"/>
      <c r="V5" s="62" t="s">
        <v>132</v>
      </c>
      <c r="X5" s="1" t="str">
        <f t="shared" si="0"/>
        <v>PANCALDI Walter</v>
      </c>
      <c r="Y5" s="1">
        <v>136060</v>
      </c>
      <c r="Z5" s="1" t="s">
        <v>37</v>
      </c>
      <c r="AA5" s="1" t="s">
        <v>141</v>
      </c>
      <c r="AB5" s="1" t="s">
        <v>142</v>
      </c>
      <c r="AD5" s="1" t="s">
        <v>16</v>
      </c>
      <c r="AE5" s="1" t="s">
        <v>139</v>
      </c>
      <c r="AF5" s="1" t="s">
        <v>25</v>
      </c>
      <c r="AG5" s="1" t="s">
        <v>154</v>
      </c>
      <c r="AH5" s="1" t="s">
        <v>28</v>
      </c>
      <c r="AI5" s="1" t="s">
        <v>171</v>
      </c>
      <c r="AJ5" s="1" t="s">
        <v>29</v>
      </c>
      <c r="AK5" s="1" t="s">
        <v>180</v>
      </c>
      <c r="AL5" s="1" t="s">
        <v>30</v>
      </c>
      <c r="AM5" s="1" t="s">
        <v>192</v>
      </c>
      <c r="AN5" s="1" t="s">
        <v>21</v>
      </c>
      <c r="AO5" s="1" t="s">
        <v>204</v>
      </c>
      <c r="AP5" s="1" t="s">
        <v>28</v>
      </c>
      <c r="AQ5" s="1" t="s">
        <v>215</v>
      </c>
      <c r="AR5" s="1" t="s">
        <v>27</v>
      </c>
      <c r="AS5" s="1" t="s">
        <v>187</v>
      </c>
      <c r="AT5" s="1" t="s">
        <v>53</v>
      </c>
      <c r="AU5" s="1" t="s">
        <v>226</v>
      </c>
      <c r="AV5" s="1" t="s">
        <v>26</v>
      </c>
      <c r="AW5" s="1" t="s">
        <v>231</v>
      </c>
      <c r="AZ5" s="1" t="s">
        <v>11</v>
      </c>
      <c r="BA5" s="1" t="s">
        <v>238</v>
      </c>
      <c r="BB5" s="1" t="s">
        <v>14</v>
      </c>
      <c r="BC5" s="1" t="s">
        <v>187</v>
      </c>
      <c r="BD5" s="15" t="s">
        <v>88</v>
      </c>
      <c r="BE5" s="1" t="s">
        <v>321</v>
      </c>
      <c r="BF5" s="190" t="s">
        <v>323</v>
      </c>
    </row>
    <row r="6" spans="1:58" ht="15.75" thickBot="1" x14ac:dyDescent="0.3">
      <c r="A6" s="1">
        <v>6</v>
      </c>
      <c r="C6" s="1">
        <f>L1</f>
        <v>0</v>
      </c>
      <c r="D6" s="1" t="s">
        <v>110</v>
      </c>
      <c r="E6" s="1" t="s">
        <v>73</v>
      </c>
      <c r="G6">
        <v>5</v>
      </c>
      <c r="H6" s="62"/>
      <c r="T6" s="16"/>
      <c r="V6" s="63" t="s">
        <v>270</v>
      </c>
      <c r="X6" s="1" t="str">
        <f t="shared" si="0"/>
        <v>BELLET Alain</v>
      </c>
      <c r="Y6" s="1">
        <v>15151</v>
      </c>
      <c r="Z6" s="1" t="s">
        <v>0</v>
      </c>
      <c r="AA6" s="1" t="s">
        <v>143</v>
      </c>
      <c r="AB6" s="1" t="s">
        <v>138</v>
      </c>
      <c r="AD6" s="1" t="s">
        <v>37</v>
      </c>
      <c r="AE6" s="1" t="s">
        <v>141</v>
      </c>
      <c r="AF6" s="1" t="s">
        <v>19</v>
      </c>
      <c r="AG6" s="1" t="s">
        <v>152</v>
      </c>
      <c r="AH6" s="1" t="s">
        <v>26</v>
      </c>
      <c r="AI6" s="1" t="s">
        <v>167</v>
      </c>
      <c r="AJ6" s="1" t="s">
        <v>38</v>
      </c>
      <c r="AK6" s="1" t="s">
        <v>185</v>
      </c>
      <c r="AL6" s="1" t="s">
        <v>39</v>
      </c>
      <c r="AM6" s="1" t="s">
        <v>195</v>
      </c>
      <c r="AN6" s="1" t="s">
        <v>5</v>
      </c>
      <c r="AO6" s="1" t="s">
        <v>199</v>
      </c>
      <c r="AP6" s="1" t="s">
        <v>24</v>
      </c>
      <c r="AQ6" s="1" t="s">
        <v>187</v>
      </c>
      <c r="AR6" s="1" t="s">
        <v>18</v>
      </c>
      <c r="AS6" s="1" t="s">
        <v>217</v>
      </c>
      <c r="AT6" s="1" t="s">
        <v>25</v>
      </c>
      <c r="AU6" s="1" t="s">
        <v>228</v>
      </c>
      <c r="AV6" s="1" t="s">
        <v>10</v>
      </c>
      <c r="AW6" s="1" t="s">
        <v>234</v>
      </c>
      <c r="AZ6" s="1" t="s">
        <v>25</v>
      </c>
      <c r="BA6" s="1" t="s">
        <v>244</v>
      </c>
      <c r="BB6" s="1" t="s">
        <v>23</v>
      </c>
      <c r="BC6" s="1" t="s">
        <v>256</v>
      </c>
      <c r="BD6" s="15" t="s">
        <v>89</v>
      </c>
      <c r="BE6" s="1" t="s">
        <v>331</v>
      </c>
      <c r="BF6" s="188" t="s">
        <v>329</v>
      </c>
    </row>
    <row r="7" spans="1:58" x14ac:dyDescent="0.25">
      <c r="A7" s="1">
        <v>7</v>
      </c>
      <c r="C7" s="1">
        <f>M1</f>
        <v>0</v>
      </c>
      <c r="D7" s="1" t="s">
        <v>327</v>
      </c>
      <c r="E7" s="1" t="s">
        <v>74</v>
      </c>
      <c r="G7">
        <v>6</v>
      </c>
      <c r="H7" s="62"/>
      <c r="T7" s="16"/>
      <c r="X7" s="1" t="str">
        <f t="shared" si="0"/>
        <v>CAMPOLI Jean louis</v>
      </c>
      <c r="Y7" s="1">
        <v>12715</v>
      </c>
      <c r="Z7" s="1" t="s">
        <v>22</v>
      </c>
      <c r="AA7" s="1" t="s">
        <v>144</v>
      </c>
      <c r="AB7" s="1" t="s">
        <v>142</v>
      </c>
      <c r="AF7" s="1" t="s">
        <v>5</v>
      </c>
      <c r="AG7" s="1" t="s">
        <v>146</v>
      </c>
      <c r="AH7" s="1" t="s">
        <v>41</v>
      </c>
      <c r="AI7" s="1" t="s">
        <v>156</v>
      </c>
      <c r="AJ7" s="1" t="s">
        <v>27</v>
      </c>
      <c r="AK7" s="1" t="s">
        <v>184</v>
      </c>
      <c r="AL7" s="1" t="s">
        <v>42</v>
      </c>
      <c r="AM7" s="1" t="s">
        <v>197</v>
      </c>
      <c r="AN7" s="1" t="s">
        <v>31</v>
      </c>
      <c r="AO7" s="1" t="s">
        <v>202</v>
      </c>
      <c r="AP7" s="1" t="s">
        <v>7</v>
      </c>
      <c r="AQ7" s="1" t="s">
        <v>216</v>
      </c>
      <c r="AT7" s="1" t="s">
        <v>40</v>
      </c>
      <c r="AU7" s="1" t="s">
        <v>222</v>
      </c>
      <c r="AV7" s="1" t="s">
        <v>27</v>
      </c>
      <c r="AW7" s="1" t="s">
        <v>236</v>
      </c>
      <c r="AZ7" s="1" t="s">
        <v>19</v>
      </c>
      <c r="BA7" s="1" t="s">
        <v>245</v>
      </c>
      <c r="BB7" s="1" t="s">
        <v>28</v>
      </c>
      <c r="BC7" s="1" t="s">
        <v>202</v>
      </c>
      <c r="BD7" s="15" t="s">
        <v>90</v>
      </c>
      <c r="BE7" s="1" t="s">
        <v>331</v>
      </c>
      <c r="BF7" s="188" t="s">
        <v>329</v>
      </c>
    </row>
    <row r="8" spans="1:58" x14ac:dyDescent="0.25">
      <c r="A8" s="1">
        <v>8</v>
      </c>
      <c r="C8" s="1">
        <f>N1</f>
        <v>0</v>
      </c>
      <c r="D8" s="1" t="s">
        <v>112</v>
      </c>
      <c r="E8" s="1" t="s">
        <v>75</v>
      </c>
      <c r="G8">
        <v>7</v>
      </c>
      <c r="H8" s="62"/>
      <c r="T8" s="16"/>
      <c r="Y8" s="1" t="s">
        <v>145</v>
      </c>
      <c r="AH8" s="1" t="s">
        <v>36</v>
      </c>
      <c r="AI8" s="1" t="s">
        <v>162</v>
      </c>
      <c r="AJ8" s="1" t="s">
        <v>44</v>
      </c>
      <c r="AK8" s="1" t="s">
        <v>187</v>
      </c>
      <c r="AL8" s="1" t="s">
        <v>45</v>
      </c>
      <c r="AM8" s="1" t="s">
        <v>194</v>
      </c>
      <c r="AP8" s="1" t="s">
        <v>26</v>
      </c>
      <c r="AQ8" s="1" t="s">
        <v>214</v>
      </c>
      <c r="AT8" s="1" t="s">
        <v>5</v>
      </c>
      <c r="AU8" s="1" t="s">
        <v>219</v>
      </c>
      <c r="AV8" s="1" t="s">
        <v>19</v>
      </c>
      <c r="AW8" s="1" t="s">
        <v>230</v>
      </c>
      <c r="AZ8" s="1" t="s">
        <v>35</v>
      </c>
      <c r="BA8" s="1" t="s">
        <v>241</v>
      </c>
      <c r="BB8" s="1" t="s">
        <v>58</v>
      </c>
      <c r="BC8" s="1" t="s">
        <v>257</v>
      </c>
      <c r="BD8" s="15" t="s">
        <v>91</v>
      </c>
      <c r="BE8" s="1" t="s">
        <v>331</v>
      </c>
      <c r="BF8" s="188" t="s">
        <v>329</v>
      </c>
    </row>
    <row r="9" spans="1:58" x14ac:dyDescent="0.25">
      <c r="A9" s="1">
        <v>9</v>
      </c>
      <c r="C9" s="1">
        <f>O1</f>
        <v>0</v>
      </c>
      <c r="D9" s="1" t="s">
        <v>113</v>
      </c>
      <c r="E9" s="1" t="s">
        <v>76</v>
      </c>
      <c r="G9">
        <v>8</v>
      </c>
      <c r="H9" s="62"/>
      <c r="T9" s="16"/>
      <c r="V9" s="1" t="str">
        <f>'INSCRIPTION DES JOUEURS'!BD10</f>
        <v>5 Quilles N1</v>
      </c>
      <c r="Y9" s="1" t="s">
        <v>134</v>
      </c>
      <c r="Z9" s="1" t="s">
        <v>135</v>
      </c>
      <c r="AA9" s="1" t="s">
        <v>136</v>
      </c>
      <c r="AH9" s="1" t="s">
        <v>48</v>
      </c>
      <c r="AI9" s="1" t="s">
        <v>157</v>
      </c>
      <c r="AJ9" s="1" t="s">
        <v>43</v>
      </c>
      <c r="AK9" s="1" t="s">
        <v>177</v>
      </c>
      <c r="AL9" s="1" t="s">
        <v>49</v>
      </c>
      <c r="AM9" s="1" t="s">
        <v>196</v>
      </c>
      <c r="AP9" s="1" t="s">
        <v>6</v>
      </c>
      <c r="AQ9" s="1" t="s">
        <v>182</v>
      </c>
      <c r="AT9" s="1" t="s">
        <v>17</v>
      </c>
      <c r="AU9" s="1" t="s">
        <v>220</v>
      </c>
      <c r="AV9" s="1" t="s">
        <v>18</v>
      </c>
      <c r="AW9" s="1" t="s">
        <v>233</v>
      </c>
      <c r="AZ9" s="1" t="s">
        <v>20</v>
      </c>
      <c r="BA9" s="1" t="s">
        <v>239</v>
      </c>
      <c r="BB9" s="1" t="s">
        <v>12</v>
      </c>
      <c r="BC9" s="1" t="s">
        <v>247</v>
      </c>
      <c r="BD9" s="15" t="s">
        <v>94</v>
      </c>
      <c r="BE9" s="1" t="s">
        <v>332</v>
      </c>
      <c r="BF9" s="188" t="s">
        <v>330</v>
      </c>
    </row>
    <row r="10" spans="1:58" x14ac:dyDescent="0.25">
      <c r="C10" s="1">
        <f>P1</f>
        <v>0</v>
      </c>
      <c r="D10" s="1" t="s">
        <v>114</v>
      </c>
      <c r="E10" s="1" t="s">
        <v>77</v>
      </c>
      <c r="G10">
        <v>9</v>
      </c>
      <c r="H10" s="62"/>
      <c r="T10" s="16"/>
      <c r="X10" s="1" t="str">
        <f t="shared" si="0"/>
        <v>MESA José</v>
      </c>
      <c r="Y10" s="1">
        <v>14811</v>
      </c>
      <c r="Z10" s="1" t="s">
        <v>5</v>
      </c>
      <c r="AA10" s="1" t="s">
        <v>146</v>
      </c>
      <c r="AB10" s="1" t="s">
        <v>147</v>
      </c>
      <c r="AH10" s="1" t="s">
        <v>46</v>
      </c>
      <c r="AI10" s="1" t="s">
        <v>164</v>
      </c>
      <c r="AJ10" s="1" t="s">
        <v>52</v>
      </c>
      <c r="AK10" s="1" t="s">
        <v>182</v>
      </c>
      <c r="AP10" s="1" t="s">
        <v>25</v>
      </c>
      <c r="AQ10" s="1" t="s">
        <v>206</v>
      </c>
      <c r="AT10" s="1" t="s">
        <v>55</v>
      </c>
      <c r="AU10" s="1" t="s">
        <v>227</v>
      </c>
      <c r="AZ10" s="1" t="s">
        <v>32</v>
      </c>
      <c r="BA10" s="1" t="s">
        <v>246</v>
      </c>
      <c r="BB10" s="1" t="s">
        <v>7</v>
      </c>
      <c r="BC10" s="1" t="s">
        <v>187</v>
      </c>
      <c r="BD10" s="15" t="s">
        <v>95</v>
      </c>
      <c r="BE10" s="1" t="s">
        <v>332</v>
      </c>
      <c r="BF10" s="188" t="s">
        <v>330</v>
      </c>
    </row>
    <row r="11" spans="1:58" x14ac:dyDescent="0.25">
      <c r="C11" s="1">
        <f>Q1</f>
        <v>0</v>
      </c>
      <c r="D11" s="1" t="s">
        <v>115</v>
      </c>
      <c r="E11" s="1" t="s">
        <v>78</v>
      </c>
      <c r="G11">
        <v>10</v>
      </c>
      <c r="H11" s="62"/>
      <c r="T11" s="16"/>
      <c r="X11" s="1" t="str">
        <f t="shared" si="0"/>
        <v>BONNEFOY Joel</v>
      </c>
      <c r="Y11" s="1">
        <v>156198</v>
      </c>
      <c r="Z11" s="1" t="s">
        <v>1</v>
      </c>
      <c r="AA11" s="1" t="s">
        <v>148</v>
      </c>
      <c r="AB11" s="1" t="s">
        <v>149</v>
      </c>
      <c r="AH11" s="1" t="s">
        <v>33</v>
      </c>
      <c r="AI11" s="1" t="s">
        <v>160</v>
      </c>
      <c r="AJ11" s="1" t="s">
        <v>54</v>
      </c>
      <c r="AK11" s="1" t="s">
        <v>181</v>
      </c>
      <c r="AP11" s="1" t="s">
        <v>27</v>
      </c>
      <c r="AQ11" s="1" t="s">
        <v>187</v>
      </c>
      <c r="AT11" s="1" t="s">
        <v>43</v>
      </c>
      <c r="AU11" s="1" t="s">
        <v>223</v>
      </c>
      <c r="BB11" s="1" t="s">
        <v>26</v>
      </c>
      <c r="BC11" s="1" t="s">
        <v>252</v>
      </c>
      <c r="BD11" s="15" t="s">
        <v>96</v>
      </c>
      <c r="BE11" s="1" t="s">
        <v>332</v>
      </c>
      <c r="BF11" s="188" t="s">
        <v>330</v>
      </c>
    </row>
    <row r="12" spans="1:58" x14ac:dyDescent="0.25">
      <c r="C12" s="1">
        <f>R1</f>
        <v>0</v>
      </c>
      <c r="D12" s="1" t="s">
        <v>115</v>
      </c>
      <c r="E12" s="1" t="s">
        <v>81</v>
      </c>
      <c r="G12">
        <v>11</v>
      </c>
      <c r="H12" s="62"/>
      <c r="T12" s="16"/>
      <c r="X12" s="1" t="str">
        <f t="shared" si="0"/>
        <v>GOUVERNEL Pierre</v>
      </c>
      <c r="Y12" s="1">
        <v>107147</v>
      </c>
      <c r="Z12" s="1" t="s">
        <v>6</v>
      </c>
      <c r="AA12" s="1" t="s">
        <v>150</v>
      </c>
      <c r="AB12" s="1" t="s">
        <v>151</v>
      </c>
      <c r="AH12" s="1" t="s">
        <v>18</v>
      </c>
      <c r="AI12" s="1" t="s">
        <v>173</v>
      </c>
      <c r="AJ12" s="1" t="s">
        <v>56</v>
      </c>
      <c r="AK12" s="1" t="s">
        <v>183</v>
      </c>
      <c r="AP12" s="1" t="s">
        <v>19</v>
      </c>
      <c r="AQ12" s="1" t="s">
        <v>208</v>
      </c>
      <c r="AT12" s="1" t="s">
        <v>33</v>
      </c>
      <c r="AU12" s="1" t="s">
        <v>221</v>
      </c>
      <c r="BB12" s="1" t="s">
        <v>21</v>
      </c>
      <c r="BC12" s="1" t="s">
        <v>248</v>
      </c>
      <c r="BD12" s="15" t="s">
        <v>92</v>
      </c>
      <c r="BE12" s="1" t="s">
        <v>322</v>
      </c>
      <c r="BF12" s="188" t="s">
        <v>324</v>
      </c>
    </row>
    <row r="13" spans="1:58" x14ac:dyDescent="0.25">
      <c r="C13" s="1">
        <f>S1</f>
        <v>0</v>
      </c>
      <c r="D13" s="1" t="s">
        <v>111</v>
      </c>
      <c r="E13" s="1" t="s">
        <v>79</v>
      </c>
      <c r="G13">
        <v>12</v>
      </c>
      <c r="H13" s="62"/>
      <c r="T13" s="16"/>
      <c r="V13" s="1" t="s">
        <v>130</v>
      </c>
      <c r="X13" s="1" t="str">
        <f t="shared" si="0"/>
        <v>MARCONI Dominique</v>
      </c>
      <c r="Y13" s="1">
        <v>123009</v>
      </c>
      <c r="Z13" s="1" t="s">
        <v>19</v>
      </c>
      <c r="AA13" s="1" t="s">
        <v>152</v>
      </c>
      <c r="AB13" s="1" t="s">
        <v>147</v>
      </c>
      <c r="AH13" s="1" t="s">
        <v>32</v>
      </c>
      <c r="AI13" s="1" t="s">
        <v>166</v>
      </c>
      <c r="AP13" s="1" t="s">
        <v>17</v>
      </c>
      <c r="AQ13" s="1" t="s">
        <v>205</v>
      </c>
      <c r="AT13" s="1" t="s">
        <v>47</v>
      </c>
      <c r="AU13" s="1" t="s">
        <v>224</v>
      </c>
      <c r="BB13" s="1" t="s">
        <v>36</v>
      </c>
      <c r="BC13" s="1" t="s">
        <v>162</v>
      </c>
      <c r="BD13" s="15" t="s">
        <v>93</v>
      </c>
      <c r="BE13" s="1" t="s">
        <v>322</v>
      </c>
      <c r="BF13" s="188" t="s">
        <v>324</v>
      </c>
    </row>
    <row r="14" spans="1:58" x14ac:dyDescent="0.25">
      <c r="C14" s="1">
        <f>T1</f>
        <v>0</v>
      </c>
      <c r="D14" s="1" t="s">
        <v>328</v>
      </c>
      <c r="E14" s="1" t="s">
        <v>80</v>
      </c>
      <c r="G14">
        <v>13</v>
      </c>
      <c r="H14" s="62"/>
      <c r="T14" s="16"/>
      <c r="V14" s="1" t="s">
        <v>129</v>
      </c>
      <c r="X14" s="1" t="str">
        <f t="shared" si="0"/>
        <v>LECLERC Philippe</v>
      </c>
      <c r="Y14" s="1">
        <v>119610</v>
      </c>
      <c r="Z14" s="1" t="s">
        <v>21</v>
      </c>
      <c r="AA14" s="1" t="s">
        <v>153</v>
      </c>
      <c r="AB14" s="1" t="s">
        <v>151</v>
      </c>
      <c r="AH14" s="1" t="s">
        <v>57</v>
      </c>
      <c r="AI14" s="1" t="s">
        <v>169</v>
      </c>
      <c r="AP14" s="1" t="s">
        <v>46</v>
      </c>
      <c r="AQ14" s="1" t="s">
        <v>210</v>
      </c>
      <c r="BB14" s="1" t="s">
        <v>43</v>
      </c>
      <c r="BC14" s="1" t="s">
        <v>254</v>
      </c>
      <c r="BD14" s="15"/>
      <c r="BF14" s="16"/>
    </row>
    <row r="15" spans="1:58" ht="15.75" thickBot="1" x14ac:dyDescent="0.3">
      <c r="G15">
        <v>14</v>
      </c>
      <c r="H15" s="62"/>
      <c r="T15" s="16"/>
      <c r="X15" s="1" t="str">
        <f t="shared" si="0"/>
        <v>LEGRAND Robert</v>
      </c>
      <c r="Y15" s="1">
        <v>15019</v>
      </c>
      <c r="Z15" s="1" t="s">
        <v>25</v>
      </c>
      <c r="AA15" s="1" t="s">
        <v>154</v>
      </c>
      <c r="AB15" s="1" t="s">
        <v>151</v>
      </c>
      <c r="AH15" s="1" t="s">
        <v>59</v>
      </c>
      <c r="AI15" s="1" t="s">
        <v>165</v>
      </c>
      <c r="AP15" s="1" t="s">
        <v>43</v>
      </c>
      <c r="AQ15" s="1" t="s">
        <v>212</v>
      </c>
      <c r="BB15" s="1" t="s">
        <v>33</v>
      </c>
      <c r="BC15" s="1" t="s">
        <v>250</v>
      </c>
      <c r="BD15" s="17"/>
      <c r="BE15" s="18"/>
      <c r="BF15" s="19"/>
    </row>
    <row r="16" spans="1:58" x14ac:dyDescent="0.25">
      <c r="G16">
        <v>15</v>
      </c>
      <c r="H16" s="62"/>
      <c r="T16" s="16"/>
      <c r="Y16" s="1" t="s">
        <v>155</v>
      </c>
      <c r="AP16" s="1" t="s">
        <v>33</v>
      </c>
      <c r="AQ16" s="1" t="s">
        <v>209</v>
      </c>
      <c r="BB16" s="1" t="s">
        <v>51</v>
      </c>
      <c r="BC16" s="1" t="s">
        <v>253</v>
      </c>
    </row>
    <row r="17" spans="7:43" x14ac:dyDescent="0.25">
      <c r="G17">
        <v>16</v>
      </c>
      <c r="H17" s="62"/>
      <c r="T17" s="16"/>
      <c r="Y17" s="1" t="s">
        <v>134</v>
      </c>
      <c r="Z17" s="1" t="s">
        <v>135</v>
      </c>
      <c r="AA17" s="1" t="s">
        <v>136</v>
      </c>
      <c r="AP17" s="1" t="s">
        <v>18</v>
      </c>
      <c r="AQ17" s="1" t="s">
        <v>217</v>
      </c>
    </row>
    <row r="18" spans="7:43" x14ac:dyDescent="0.25">
      <c r="G18">
        <v>17</v>
      </c>
      <c r="H18" s="62"/>
      <c r="T18" s="16"/>
      <c r="X18" s="1" t="str">
        <f t="shared" si="0"/>
        <v>LENA Daniel</v>
      </c>
      <c r="Y18" s="1">
        <v>15086</v>
      </c>
      <c r="Z18" s="1" t="s">
        <v>41</v>
      </c>
      <c r="AA18" s="1" t="s">
        <v>156</v>
      </c>
      <c r="AB18" s="1" t="s">
        <v>151</v>
      </c>
      <c r="AP18" s="1" t="s">
        <v>32</v>
      </c>
      <c r="AQ18" s="1" t="s">
        <v>207</v>
      </c>
    </row>
    <row r="19" spans="7:43" x14ac:dyDescent="0.25">
      <c r="G19">
        <v>18</v>
      </c>
      <c r="H19" s="62"/>
      <c r="T19" s="16"/>
      <c r="X19" s="1" t="str">
        <f t="shared" si="0"/>
        <v>NGUYEN Van Luan</v>
      </c>
      <c r="Y19" s="1">
        <v>123030</v>
      </c>
      <c r="Z19" s="1" t="s">
        <v>48</v>
      </c>
      <c r="AA19" s="1" t="s">
        <v>157</v>
      </c>
      <c r="AB19" s="1" t="s">
        <v>158</v>
      </c>
    </row>
    <row r="20" spans="7:43" x14ac:dyDescent="0.25">
      <c r="G20">
        <v>19</v>
      </c>
      <c r="H20" s="62"/>
      <c r="T20" s="16"/>
      <c r="X20" s="1" t="str">
        <f t="shared" si="0"/>
        <v>BORRACCINO Michel</v>
      </c>
      <c r="Y20" s="1">
        <v>14821</v>
      </c>
      <c r="Z20" s="1" t="s">
        <v>2</v>
      </c>
      <c r="AA20" s="1" t="s">
        <v>159</v>
      </c>
      <c r="AB20" s="1" t="s">
        <v>140</v>
      </c>
    </row>
    <row r="21" spans="7:43" x14ac:dyDescent="0.25">
      <c r="G21">
        <v>20</v>
      </c>
      <c r="H21" s="62"/>
      <c r="T21" s="16"/>
      <c r="X21" s="1" t="str">
        <f t="shared" si="0"/>
        <v>RAVAGLI François</v>
      </c>
      <c r="Y21" s="1">
        <v>112364</v>
      </c>
      <c r="Z21" s="1" t="s">
        <v>33</v>
      </c>
      <c r="AA21" s="1" t="s">
        <v>160</v>
      </c>
      <c r="AB21" s="1" t="s">
        <v>161</v>
      </c>
    </row>
    <row r="22" spans="7:43" x14ac:dyDescent="0.25">
      <c r="G22">
        <v>21</v>
      </c>
      <c r="H22" s="62"/>
      <c r="T22" s="16"/>
      <c r="X22" s="1" t="str">
        <f t="shared" si="0"/>
        <v>MALVAREZ Jean</v>
      </c>
      <c r="Y22" s="1">
        <v>102806</v>
      </c>
      <c r="Z22" s="1" t="s">
        <v>36</v>
      </c>
      <c r="AA22" s="1" t="s">
        <v>162</v>
      </c>
      <c r="AB22" s="1" t="s">
        <v>163</v>
      </c>
    </row>
    <row r="23" spans="7:43" x14ac:dyDescent="0.25">
      <c r="G23">
        <v>22</v>
      </c>
      <c r="H23" s="62"/>
      <c r="T23" s="16"/>
      <c r="X23" s="1" t="str">
        <f t="shared" si="0"/>
        <v>ODVA Christian</v>
      </c>
      <c r="Y23" s="1">
        <v>15063</v>
      </c>
      <c r="Z23" s="1" t="s">
        <v>46</v>
      </c>
      <c r="AA23" s="1" t="s">
        <v>164</v>
      </c>
      <c r="AB23" s="1" t="s">
        <v>147</v>
      </c>
    </row>
    <row r="24" spans="7:43" x14ac:dyDescent="0.25">
      <c r="G24">
        <v>23</v>
      </c>
      <c r="H24" s="62"/>
      <c r="T24" s="16"/>
      <c r="X24" s="1" t="str">
        <f t="shared" si="0"/>
        <v>VOYAT Philippe</v>
      </c>
      <c r="Y24" s="1">
        <v>123027</v>
      </c>
      <c r="Z24" s="1" t="s">
        <v>59</v>
      </c>
      <c r="AA24" s="1" t="s">
        <v>165</v>
      </c>
      <c r="AB24" s="1" t="s">
        <v>140</v>
      </c>
    </row>
    <row r="25" spans="7:43" x14ac:dyDescent="0.25">
      <c r="G25">
        <v>24</v>
      </c>
      <c r="H25" s="62"/>
      <c r="T25" s="16"/>
      <c r="X25" s="1" t="str">
        <f t="shared" si="0"/>
        <v>RUZZON Bruno</v>
      </c>
      <c r="Y25" s="1">
        <v>120525</v>
      </c>
      <c r="Z25" s="1" t="s">
        <v>32</v>
      </c>
      <c r="AA25" s="1" t="s">
        <v>166</v>
      </c>
      <c r="AB25" s="1" t="s">
        <v>163</v>
      </c>
    </row>
    <row r="26" spans="7:43" x14ac:dyDescent="0.25">
      <c r="G26">
        <v>25</v>
      </c>
      <c r="H26" s="62"/>
      <c r="T26" s="16"/>
      <c r="X26" s="1" t="str">
        <f t="shared" si="0"/>
        <v>GEORGES Marcel</v>
      </c>
      <c r="Y26" s="1">
        <v>14808</v>
      </c>
      <c r="Z26" s="1" t="s">
        <v>26</v>
      </c>
      <c r="AA26" s="1" t="s">
        <v>167</v>
      </c>
      <c r="AB26" s="1" t="s">
        <v>140</v>
      </c>
    </row>
    <row r="27" spans="7:43" x14ac:dyDescent="0.25">
      <c r="G27">
        <v>26</v>
      </c>
      <c r="H27" s="62"/>
      <c r="T27" s="16"/>
      <c r="X27" s="1" t="str">
        <f t="shared" si="0"/>
        <v>DAL CORTIVO Paul</v>
      </c>
      <c r="Y27" s="1">
        <v>12884</v>
      </c>
      <c r="Z27" s="1" t="s">
        <v>23</v>
      </c>
      <c r="AA27" s="1" t="s">
        <v>168</v>
      </c>
      <c r="AB27" s="1" t="s">
        <v>151</v>
      </c>
    </row>
    <row r="28" spans="7:43" x14ac:dyDescent="0.25">
      <c r="G28">
        <v>27</v>
      </c>
      <c r="H28" s="62"/>
      <c r="T28" s="16"/>
      <c r="X28" s="1" t="str">
        <f t="shared" si="0"/>
        <v>SACRISTANI Albert</v>
      </c>
      <c r="Y28" s="1">
        <v>15089</v>
      </c>
      <c r="Z28" s="1" t="s">
        <v>57</v>
      </c>
      <c r="AA28" s="1" t="s">
        <v>169</v>
      </c>
      <c r="AB28" s="1" t="s">
        <v>170</v>
      </c>
    </row>
    <row r="29" spans="7:43" x14ac:dyDescent="0.25">
      <c r="G29">
        <v>28</v>
      </c>
      <c r="H29" s="62"/>
      <c r="T29" s="16"/>
      <c r="X29" s="1" t="str">
        <f t="shared" si="0"/>
        <v>DALLA TORRE Gérard</v>
      </c>
      <c r="Y29" s="1">
        <v>14817</v>
      </c>
      <c r="Z29" s="1" t="s">
        <v>28</v>
      </c>
      <c r="AA29" s="1" t="s">
        <v>171</v>
      </c>
      <c r="AB29" s="1" t="s">
        <v>151</v>
      </c>
    </row>
    <row r="30" spans="7:43" ht="15.75" thickBot="1" x14ac:dyDescent="0.3">
      <c r="G30">
        <v>29</v>
      </c>
      <c r="H30" s="63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9"/>
      <c r="X30" s="1" t="str">
        <f t="shared" si="0"/>
        <v>CATTIN Gilles</v>
      </c>
      <c r="Y30" s="1">
        <v>131686</v>
      </c>
      <c r="Z30" s="1" t="s">
        <v>13</v>
      </c>
      <c r="AA30" s="1" t="s">
        <v>172</v>
      </c>
      <c r="AB30" s="1" t="s">
        <v>147</v>
      </c>
    </row>
    <row r="31" spans="7:43" x14ac:dyDescent="0.25">
      <c r="H31" s="1">
        <v>2</v>
      </c>
      <c r="I31" s="1">
        <v>3</v>
      </c>
      <c r="J31" s="1">
        <v>4</v>
      </c>
      <c r="K31" s="1">
        <v>5</v>
      </c>
      <c r="L31" s="1">
        <v>6</v>
      </c>
      <c r="M31" s="1">
        <v>7</v>
      </c>
      <c r="N31" s="1">
        <v>8</v>
      </c>
      <c r="O31" s="1">
        <v>9</v>
      </c>
      <c r="P31" s="1">
        <v>10</v>
      </c>
      <c r="Q31" s="1">
        <v>11</v>
      </c>
      <c r="R31" s="1">
        <v>12</v>
      </c>
      <c r="S31" s="1">
        <v>13</v>
      </c>
      <c r="T31" s="1">
        <v>14</v>
      </c>
      <c r="X31" s="1" t="str">
        <f t="shared" si="0"/>
        <v>REININGER Robert</v>
      </c>
      <c r="Y31" s="1">
        <v>15010</v>
      </c>
      <c r="Z31" s="1" t="s">
        <v>18</v>
      </c>
      <c r="AA31" s="1" t="s">
        <v>173</v>
      </c>
      <c r="AB31" s="1" t="s">
        <v>174</v>
      </c>
    </row>
    <row r="32" spans="7:43" x14ac:dyDescent="0.25">
      <c r="Y32" s="1" t="s">
        <v>175</v>
      </c>
    </row>
    <row r="33" spans="8:28" x14ac:dyDescent="0.25">
      <c r="H33" s="1" t="str">
        <f>IF('INSCRIPTION DES JOUEURS'!BD10="","",'INSCRIPTION DES JOUEURS'!BD10)</f>
        <v>5 Quilles N1</v>
      </c>
      <c r="Y33" s="1" t="s">
        <v>134</v>
      </c>
      <c r="Z33" s="1" t="s">
        <v>135</v>
      </c>
      <c r="AA33" s="1" t="s">
        <v>136</v>
      </c>
    </row>
    <row r="34" spans="8:28" x14ac:dyDescent="0.25">
      <c r="H34" s="1" t="e">
        <f>HLOOKUP(H33,$H$1:$T$31,31,0)</f>
        <v>#N/A</v>
      </c>
      <c r="X34" s="1" t="str">
        <f t="shared" si="0"/>
        <v>CASTELLS Henri</v>
      </c>
      <c r="Y34" s="1">
        <v>107145</v>
      </c>
      <c r="Z34" s="1" t="s">
        <v>3</v>
      </c>
      <c r="AA34" s="1" t="s">
        <v>176</v>
      </c>
      <c r="AB34" s="1" t="s">
        <v>158</v>
      </c>
    </row>
    <row r="35" spans="8:28" x14ac:dyDescent="0.25">
      <c r="X35" s="1" t="str">
        <f t="shared" si="0"/>
        <v>POIROT Dominique</v>
      </c>
      <c r="Y35" s="1">
        <v>119612</v>
      </c>
      <c r="Z35" s="1" t="s">
        <v>43</v>
      </c>
      <c r="AA35" s="1" t="s">
        <v>177</v>
      </c>
      <c r="AB35" s="1" t="s">
        <v>142</v>
      </c>
    </row>
    <row r="36" spans="8:28" x14ac:dyDescent="0.25">
      <c r="X36" s="1" t="str">
        <f t="shared" si="0"/>
        <v>CLAUSS Frédéric</v>
      </c>
      <c r="Y36" s="1">
        <v>150579</v>
      </c>
      <c r="Z36" s="1" t="s">
        <v>14</v>
      </c>
      <c r="AA36" s="1" t="s">
        <v>178</v>
      </c>
      <c r="AB36" s="1" t="s">
        <v>142</v>
      </c>
    </row>
    <row r="37" spans="8:28" x14ac:dyDescent="0.25">
      <c r="X37" s="1" t="str">
        <f t="shared" si="0"/>
        <v>DE VREESE Pierre</v>
      </c>
      <c r="Y37" s="1">
        <v>15407</v>
      </c>
      <c r="Z37" s="1" t="s">
        <v>24</v>
      </c>
      <c r="AA37" s="1" t="s">
        <v>179</v>
      </c>
      <c r="AB37" s="1" t="s">
        <v>170</v>
      </c>
    </row>
    <row r="38" spans="8:28" x14ac:dyDescent="0.25">
      <c r="X38" s="1" t="str">
        <f t="shared" si="0"/>
        <v>FANK François</v>
      </c>
      <c r="Y38" s="1">
        <v>15159</v>
      </c>
      <c r="Z38" s="1" t="s">
        <v>29</v>
      </c>
      <c r="AA38" s="1" t="s">
        <v>180</v>
      </c>
      <c r="AB38" s="1" t="s">
        <v>138</v>
      </c>
    </row>
    <row r="39" spans="8:28" x14ac:dyDescent="0.25">
      <c r="X39" s="1" t="str">
        <f t="shared" si="0"/>
        <v>STAMM Jean</v>
      </c>
      <c r="Y39" s="1">
        <v>15205</v>
      </c>
      <c r="Z39" s="1" t="s">
        <v>54</v>
      </c>
      <c r="AA39" s="1" t="s">
        <v>181</v>
      </c>
      <c r="AB39" s="1" t="s">
        <v>147</v>
      </c>
    </row>
    <row r="40" spans="8:28" x14ac:dyDescent="0.25">
      <c r="X40" s="1" t="str">
        <f t="shared" si="0"/>
        <v>RONCK Denis</v>
      </c>
      <c r="Y40" s="1">
        <v>147482</v>
      </c>
      <c r="Z40" s="1" t="s">
        <v>52</v>
      </c>
      <c r="AA40" s="1" t="s">
        <v>182</v>
      </c>
      <c r="AB40" s="1" t="s">
        <v>158</v>
      </c>
    </row>
    <row r="41" spans="8:28" x14ac:dyDescent="0.25">
      <c r="X41" s="1" t="str">
        <f t="shared" si="0"/>
        <v>TOSI Charles</v>
      </c>
      <c r="Y41" s="1">
        <v>142040</v>
      </c>
      <c r="Z41" s="1" t="s">
        <v>56</v>
      </c>
      <c r="AA41" s="1" t="s">
        <v>183</v>
      </c>
      <c r="AB41" s="1" t="s">
        <v>151</v>
      </c>
    </row>
    <row r="42" spans="8:28" x14ac:dyDescent="0.25">
      <c r="X42" s="1" t="str">
        <f t="shared" si="0"/>
        <v>MAILLAT Emmanuel</v>
      </c>
      <c r="Y42" s="1">
        <v>116281</v>
      </c>
      <c r="Z42" s="1" t="s">
        <v>27</v>
      </c>
      <c r="AA42" s="1" t="s">
        <v>184</v>
      </c>
      <c r="AB42" s="1" t="s">
        <v>151</v>
      </c>
    </row>
    <row r="43" spans="8:28" x14ac:dyDescent="0.25">
      <c r="X43" s="1" t="str">
        <f t="shared" si="0"/>
        <v>KLEINHENTZ Hubert</v>
      </c>
      <c r="Y43" s="1">
        <v>15291</v>
      </c>
      <c r="Z43" s="1" t="s">
        <v>38</v>
      </c>
      <c r="AA43" s="1" t="s">
        <v>185</v>
      </c>
      <c r="AB43" s="1" t="s">
        <v>186</v>
      </c>
    </row>
    <row r="44" spans="8:28" x14ac:dyDescent="0.25">
      <c r="X44" s="1" t="str">
        <f t="shared" si="0"/>
        <v>PARISOT Dominique</v>
      </c>
      <c r="Y44" s="1">
        <v>162922</v>
      </c>
      <c r="Z44" s="1" t="s">
        <v>44</v>
      </c>
      <c r="AA44" s="1" t="s">
        <v>187</v>
      </c>
      <c r="AB44" s="1" t="s">
        <v>158</v>
      </c>
    </row>
    <row r="45" spans="8:28" x14ac:dyDescent="0.25">
      <c r="Y45" s="1" t="s">
        <v>188</v>
      </c>
    </row>
    <row r="46" spans="8:28" x14ac:dyDescent="0.25">
      <c r="Y46" s="1" t="s">
        <v>134</v>
      </c>
      <c r="Z46" s="1" t="s">
        <v>135</v>
      </c>
      <c r="AA46" s="1" t="s">
        <v>136</v>
      </c>
    </row>
    <row r="47" spans="8:28" x14ac:dyDescent="0.25">
      <c r="X47" s="1" t="str">
        <f t="shared" si="0"/>
        <v>GEORGES Bertrand</v>
      </c>
      <c r="Y47" s="1">
        <v>15400</v>
      </c>
      <c r="Z47" s="1" t="s">
        <v>7</v>
      </c>
      <c r="AA47" s="1" t="s">
        <v>189</v>
      </c>
      <c r="AB47" s="1" t="s">
        <v>163</v>
      </c>
    </row>
    <row r="48" spans="8:28" x14ac:dyDescent="0.25">
      <c r="X48" s="1" t="str">
        <f t="shared" si="0"/>
        <v>BUCHHEIT Bernard</v>
      </c>
      <c r="Y48" s="1">
        <v>148089</v>
      </c>
      <c r="Z48" s="1" t="s">
        <v>4</v>
      </c>
      <c r="AA48" s="1" t="s">
        <v>190</v>
      </c>
      <c r="AB48" s="1" t="s">
        <v>161</v>
      </c>
    </row>
    <row r="49" spans="24:28" x14ac:dyDescent="0.25">
      <c r="X49" s="1" t="str">
        <f t="shared" si="0"/>
        <v>CADEL Jacques</v>
      </c>
      <c r="Y49" s="1">
        <v>15576</v>
      </c>
      <c r="Z49" s="1" t="s">
        <v>15</v>
      </c>
      <c r="AA49" s="1" t="s">
        <v>191</v>
      </c>
      <c r="AB49" s="1" t="s">
        <v>186</v>
      </c>
    </row>
    <row r="50" spans="24:28" x14ac:dyDescent="0.25">
      <c r="X50" s="1" t="str">
        <f t="shared" si="0"/>
        <v>IANOTTO Joëlle</v>
      </c>
      <c r="Y50" s="1">
        <v>115448</v>
      </c>
      <c r="Z50" s="1" t="s">
        <v>30</v>
      </c>
      <c r="AA50" s="1" t="s">
        <v>192</v>
      </c>
      <c r="AB50" s="1" t="s">
        <v>193</v>
      </c>
    </row>
    <row r="51" spans="24:28" x14ac:dyDescent="0.25">
      <c r="X51" s="1" t="str">
        <f t="shared" si="0"/>
        <v>ROSELLO Guy</v>
      </c>
      <c r="Y51" s="1">
        <v>137935</v>
      </c>
      <c r="Z51" s="1" t="s">
        <v>45</v>
      </c>
      <c r="AA51" s="1" t="s">
        <v>194</v>
      </c>
      <c r="AB51" s="1" t="s">
        <v>161</v>
      </c>
    </row>
    <row r="52" spans="24:28" x14ac:dyDescent="0.25">
      <c r="X52" s="1" t="str">
        <f t="shared" si="0"/>
        <v>LAVAINE Fabien</v>
      </c>
      <c r="Y52" s="1">
        <v>154587</v>
      </c>
      <c r="Z52" s="1" t="s">
        <v>39</v>
      </c>
      <c r="AA52" s="1" t="s">
        <v>195</v>
      </c>
      <c r="AB52" s="1" t="s">
        <v>142</v>
      </c>
    </row>
    <row r="53" spans="24:28" x14ac:dyDescent="0.25">
      <c r="X53" s="1" t="str">
        <f t="shared" si="0"/>
        <v>SANTARELLI Gaston</v>
      </c>
      <c r="Y53" s="1">
        <v>148487</v>
      </c>
      <c r="Z53" s="1" t="s">
        <v>49</v>
      </c>
      <c r="AA53" s="1" t="s">
        <v>196</v>
      </c>
      <c r="AB53" s="1" t="s">
        <v>193</v>
      </c>
    </row>
    <row r="54" spans="24:28" x14ac:dyDescent="0.25">
      <c r="X54" s="1" t="str">
        <f t="shared" si="0"/>
        <v>RAULY Richard</v>
      </c>
      <c r="Y54" s="1">
        <v>159444</v>
      </c>
      <c r="Z54" s="1" t="s">
        <v>42</v>
      </c>
      <c r="AA54" s="1" t="s">
        <v>197</v>
      </c>
      <c r="AB54" s="1" t="s">
        <v>158</v>
      </c>
    </row>
    <row r="56" spans="24:28" x14ac:dyDescent="0.25">
      <c r="Y56" s="1" t="s">
        <v>198</v>
      </c>
    </row>
    <row r="58" spans="24:28" x14ac:dyDescent="0.25">
      <c r="Y58" s="1" t="s">
        <v>133</v>
      </c>
    </row>
    <row r="59" spans="24:28" x14ac:dyDescent="0.25">
      <c r="Y59" s="1" t="s">
        <v>134</v>
      </c>
      <c r="Z59" s="1" t="s">
        <v>135</v>
      </c>
      <c r="AA59" s="1" t="s">
        <v>136</v>
      </c>
    </row>
    <row r="60" spans="24:28" x14ac:dyDescent="0.25">
      <c r="X60" s="1" t="str">
        <f t="shared" si="0"/>
        <v>MESA José</v>
      </c>
      <c r="Y60" s="1">
        <v>14811</v>
      </c>
      <c r="Z60" s="1" t="s">
        <v>5</v>
      </c>
      <c r="AA60" s="1" t="s">
        <v>199</v>
      </c>
      <c r="AB60" s="1" t="s">
        <v>147</v>
      </c>
    </row>
    <row r="61" spans="24:28" x14ac:dyDescent="0.25">
      <c r="X61" s="1" t="str">
        <f t="shared" si="0"/>
        <v>GUCKERT Christian</v>
      </c>
      <c r="Y61" s="1">
        <v>15020</v>
      </c>
      <c r="Z61" s="1" t="s">
        <v>16</v>
      </c>
      <c r="AA61" s="1" t="s">
        <v>200</v>
      </c>
      <c r="AB61" s="1" t="s">
        <v>140</v>
      </c>
    </row>
    <row r="62" spans="24:28" x14ac:dyDescent="0.25">
      <c r="X62" s="1" t="str">
        <f t="shared" si="0"/>
        <v>BELLINI Jacques</v>
      </c>
      <c r="Y62" s="1">
        <v>14895</v>
      </c>
      <c r="Z62" s="1" t="s">
        <v>8</v>
      </c>
      <c r="AA62" s="1" t="s">
        <v>201</v>
      </c>
      <c r="AB62" s="1" t="s">
        <v>138</v>
      </c>
    </row>
    <row r="63" spans="24:28" x14ac:dyDescent="0.25">
      <c r="X63" s="1" t="str">
        <f t="shared" si="0"/>
        <v>SPAGNOLO Luigi</v>
      </c>
      <c r="Y63" s="1">
        <v>137290</v>
      </c>
      <c r="Z63" s="1" t="s">
        <v>31</v>
      </c>
      <c r="AA63" s="1" t="s">
        <v>202</v>
      </c>
      <c r="AB63" s="1" t="s">
        <v>142</v>
      </c>
    </row>
    <row r="64" spans="24:28" x14ac:dyDescent="0.25">
      <c r="X64" s="1" t="str">
        <f t="shared" si="0"/>
        <v>BELLET Alain</v>
      </c>
      <c r="Y64" s="1">
        <v>15151</v>
      </c>
      <c r="Z64" s="1" t="s">
        <v>0</v>
      </c>
      <c r="AA64" s="1" t="s">
        <v>203</v>
      </c>
      <c r="AB64" s="1" t="s">
        <v>138</v>
      </c>
    </row>
    <row r="65" spans="24:28" x14ac:dyDescent="0.25">
      <c r="X65" s="1" t="str">
        <f t="shared" si="0"/>
        <v>LECLERC Philippe</v>
      </c>
      <c r="Y65" s="1">
        <v>119610</v>
      </c>
      <c r="Z65" s="1" t="s">
        <v>21</v>
      </c>
      <c r="AA65" s="1" t="s">
        <v>204</v>
      </c>
      <c r="AB65" s="1" t="s">
        <v>151</v>
      </c>
    </row>
    <row r="66" spans="24:28" x14ac:dyDescent="0.25">
      <c r="Y66" s="1" t="s">
        <v>145</v>
      </c>
    </row>
    <row r="67" spans="24:28" x14ac:dyDescent="0.25">
      <c r="Y67" s="1" t="s">
        <v>134</v>
      </c>
      <c r="Z67" s="1" t="s">
        <v>135</v>
      </c>
      <c r="AA67" s="1" t="s">
        <v>136</v>
      </c>
    </row>
    <row r="68" spans="24:28" x14ac:dyDescent="0.25">
      <c r="X68" s="1" t="str">
        <f t="shared" ref="X68:X129" si="1">Z68</f>
        <v>GOUVERNEL Pierre</v>
      </c>
      <c r="Y68" s="1">
        <v>107147</v>
      </c>
      <c r="Z68" s="1" t="s">
        <v>6</v>
      </c>
      <c r="AA68" s="1" t="s">
        <v>182</v>
      </c>
      <c r="AB68" s="1" t="s">
        <v>151</v>
      </c>
    </row>
    <row r="69" spans="24:28" x14ac:dyDescent="0.25">
      <c r="X69" s="1" t="str">
        <f t="shared" si="1"/>
        <v>MINDE Benoît</v>
      </c>
      <c r="Y69" s="1">
        <v>15242</v>
      </c>
      <c r="Z69" s="1" t="s">
        <v>17</v>
      </c>
      <c r="AA69" s="1" t="s">
        <v>205</v>
      </c>
      <c r="AB69" s="1" t="s">
        <v>142</v>
      </c>
    </row>
    <row r="70" spans="24:28" x14ac:dyDescent="0.25">
      <c r="X70" s="1" t="str">
        <f t="shared" si="1"/>
        <v>LEGRAND Robert</v>
      </c>
      <c r="Y70" s="1">
        <v>15019</v>
      </c>
      <c r="Z70" s="1" t="s">
        <v>25</v>
      </c>
      <c r="AA70" s="1" t="s">
        <v>206</v>
      </c>
      <c r="AB70" s="1" t="s">
        <v>151</v>
      </c>
    </row>
    <row r="71" spans="24:28" x14ac:dyDescent="0.25">
      <c r="X71" s="1" t="str">
        <f t="shared" si="1"/>
        <v>RUZZON Bruno</v>
      </c>
      <c r="Y71" s="1">
        <v>120525</v>
      </c>
      <c r="Z71" s="1" t="s">
        <v>32</v>
      </c>
      <c r="AA71" s="1" t="s">
        <v>207</v>
      </c>
      <c r="AB71" s="1" t="s">
        <v>163</v>
      </c>
    </row>
    <row r="72" spans="24:28" x14ac:dyDescent="0.25">
      <c r="X72" s="1" t="str">
        <f t="shared" si="1"/>
        <v>MARCONI Dominique</v>
      </c>
      <c r="Y72" s="1">
        <v>123009</v>
      </c>
      <c r="Z72" s="1" t="s">
        <v>19</v>
      </c>
      <c r="AA72" s="1" t="s">
        <v>208</v>
      </c>
      <c r="AB72" s="1" t="s">
        <v>147</v>
      </c>
    </row>
    <row r="73" spans="24:28" x14ac:dyDescent="0.25">
      <c r="X73" s="1" t="str">
        <f t="shared" si="1"/>
        <v>RAVAGLI François</v>
      </c>
      <c r="Y73" s="1">
        <v>112364</v>
      </c>
      <c r="Z73" s="1" t="s">
        <v>33</v>
      </c>
      <c r="AA73" s="1" t="s">
        <v>209</v>
      </c>
      <c r="AB73" s="1" t="s">
        <v>161</v>
      </c>
    </row>
    <row r="74" spans="24:28" x14ac:dyDescent="0.25">
      <c r="X74" s="1" t="str">
        <f t="shared" si="1"/>
        <v>ODVA Christian</v>
      </c>
      <c r="Y74" s="1">
        <v>15063</v>
      </c>
      <c r="Z74" s="1" t="s">
        <v>46</v>
      </c>
      <c r="AA74" s="1" t="s">
        <v>210</v>
      </c>
      <c r="AB74" s="1" t="s">
        <v>147</v>
      </c>
    </row>
    <row r="75" spans="24:28" x14ac:dyDescent="0.25">
      <c r="X75" s="1" t="str">
        <f t="shared" si="1"/>
        <v>BOURY Bernard</v>
      </c>
      <c r="Y75" s="1">
        <v>119615</v>
      </c>
      <c r="Z75" s="1" t="s">
        <v>50</v>
      </c>
      <c r="AA75" s="1" t="s">
        <v>211</v>
      </c>
      <c r="AB75" s="1" t="s">
        <v>140</v>
      </c>
    </row>
    <row r="76" spans="24:28" x14ac:dyDescent="0.25">
      <c r="X76" s="1" t="str">
        <f t="shared" si="1"/>
        <v>POIROT Dominique</v>
      </c>
      <c r="Y76" s="1">
        <v>119612</v>
      </c>
      <c r="Z76" s="1" t="s">
        <v>43</v>
      </c>
      <c r="AA76" s="1" t="s">
        <v>212</v>
      </c>
      <c r="AB76" s="1" t="s">
        <v>142</v>
      </c>
    </row>
    <row r="77" spans="24:28" x14ac:dyDescent="0.25">
      <c r="X77" s="1" t="str">
        <f t="shared" si="1"/>
        <v>DAL CORTIVO Paul</v>
      </c>
      <c r="Y77" s="1">
        <v>12884</v>
      </c>
      <c r="Z77" s="1" t="s">
        <v>23</v>
      </c>
      <c r="AA77" s="1" t="s">
        <v>213</v>
      </c>
      <c r="AB77" s="1" t="s">
        <v>151</v>
      </c>
    </row>
    <row r="78" spans="24:28" x14ac:dyDescent="0.25">
      <c r="X78" s="1" t="str">
        <f t="shared" si="1"/>
        <v>GEORGES Marcel</v>
      </c>
      <c r="Y78" s="1">
        <v>14808</v>
      </c>
      <c r="Z78" s="1" t="s">
        <v>26</v>
      </c>
      <c r="AA78" s="1" t="s">
        <v>214</v>
      </c>
      <c r="AB78" s="1" t="s">
        <v>140</v>
      </c>
    </row>
    <row r="79" spans="24:28" x14ac:dyDescent="0.25">
      <c r="X79" s="1" t="str">
        <f t="shared" si="1"/>
        <v>DALLA TORRE Gérard</v>
      </c>
      <c r="Y79" s="1">
        <v>14817</v>
      </c>
      <c r="Z79" s="1" t="s">
        <v>28</v>
      </c>
      <c r="AA79" s="1" t="s">
        <v>215</v>
      </c>
      <c r="AB79" s="1" t="s">
        <v>151</v>
      </c>
    </row>
    <row r="80" spans="24:28" x14ac:dyDescent="0.25">
      <c r="Y80" s="1" t="s">
        <v>155</v>
      </c>
    </row>
    <row r="81" spans="24:28" x14ac:dyDescent="0.25">
      <c r="Y81" s="1" t="s">
        <v>134</v>
      </c>
      <c r="Z81" s="1" t="s">
        <v>135</v>
      </c>
      <c r="AA81" s="1" t="s">
        <v>136</v>
      </c>
    </row>
    <row r="82" spans="24:28" x14ac:dyDescent="0.25">
      <c r="X82" s="1" t="str">
        <f t="shared" si="1"/>
        <v>GEORGES Bertrand</v>
      </c>
      <c r="Y82" s="1">
        <v>15400</v>
      </c>
      <c r="Z82" s="1" t="s">
        <v>7</v>
      </c>
      <c r="AA82" s="1" t="s">
        <v>216</v>
      </c>
      <c r="AB82" s="1" t="s">
        <v>163</v>
      </c>
    </row>
    <row r="83" spans="24:28" x14ac:dyDescent="0.25">
      <c r="X83" s="1" t="str">
        <f t="shared" si="1"/>
        <v>REININGER Robert</v>
      </c>
      <c r="Y83" s="1">
        <v>15010</v>
      </c>
      <c r="Z83" s="1" t="s">
        <v>18</v>
      </c>
      <c r="AA83" s="1" t="s">
        <v>217</v>
      </c>
      <c r="AB83" s="1" t="s">
        <v>174</v>
      </c>
    </row>
    <row r="84" spans="24:28" x14ac:dyDescent="0.25">
      <c r="X84" s="1" t="str">
        <f t="shared" si="1"/>
        <v>DE VREESE Pierre</v>
      </c>
      <c r="Y84" s="1">
        <v>15407</v>
      </c>
      <c r="Z84" s="1" t="s">
        <v>24</v>
      </c>
      <c r="AA84" s="1" t="s">
        <v>187</v>
      </c>
      <c r="AB84" s="1" t="s">
        <v>170</v>
      </c>
    </row>
    <row r="85" spans="24:28" x14ac:dyDescent="0.25">
      <c r="X85" s="1" t="str">
        <f t="shared" si="1"/>
        <v>MAILLAT Emmanuel</v>
      </c>
      <c r="Y85" s="1">
        <v>116281</v>
      </c>
      <c r="Z85" s="1" t="s">
        <v>27</v>
      </c>
      <c r="AA85" s="1" t="s">
        <v>187</v>
      </c>
      <c r="AB85" s="1" t="s">
        <v>151</v>
      </c>
    </row>
    <row r="86" spans="24:28" x14ac:dyDescent="0.25">
      <c r="X86" s="1" t="str">
        <f t="shared" si="1"/>
        <v>CLAUSS Frédéric</v>
      </c>
      <c r="Y86" s="1">
        <v>150579</v>
      </c>
      <c r="Z86" s="1" t="s">
        <v>14</v>
      </c>
      <c r="AA86" s="1" t="s">
        <v>187</v>
      </c>
      <c r="AB86" s="1" t="s">
        <v>142</v>
      </c>
    </row>
    <row r="88" spans="24:28" x14ac:dyDescent="0.25">
      <c r="Y88" s="1" t="s">
        <v>218</v>
      </c>
    </row>
    <row r="90" spans="24:28" x14ac:dyDescent="0.25">
      <c r="Y90" s="1" t="s">
        <v>133</v>
      </c>
    </row>
    <row r="91" spans="24:28" x14ac:dyDescent="0.25">
      <c r="Y91" s="1" t="s">
        <v>134</v>
      </c>
      <c r="Z91" s="1" t="s">
        <v>135</v>
      </c>
      <c r="AA91" s="1" t="s">
        <v>136</v>
      </c>
    </row>
    <row r="92" spans="24:28" x14ac:dyDescent="0.25">
      <c r="X92" s="1" t="str">
        <f t="shared" si="1"/>
        <v>BELLINI Jacques</v>
      </c>
      <c r="Y92" s="1">
        <v>14895</v>
      </c>
      <c r="Z92" s="1" t="s">
        <v>8</v>
      </c>
      <c r="AA92" s="1" t="s">
        <v>219</v>
      </c>
      <c r="AB92" s="1" t="s">
        <v>138</v>
      </c>
    </row>
    <row r="93" spans="24:28" x14ac:dyDescent="0.25">
      <c r="X93" s="1" t="str">
        <f t="shared" si="1"/>
        <v>MESA José</v>
      </c>
      <c r="Y93" s="1">
        <v>14811</v>
      </c>
      <c r="Z93" s="1" t="s">
        <v>5</v>
      </c>
      <c r="AA93" s="1" t="s">
        <v>219</v>
      </c>
      <c r="AB93" s="1" t="s">
        <v>147</v>
      </c>
    </row>
    <row r="94" spans="24:28" x14ac:dyDescent="0.25">
      <c r="X94" s="1" t="str">
        <f t="shared" si="1"/>
        <v>MINDE Benoît</v>
      </c>
      <c r="Y94" s="1">
        <v>15242</v>
      </c>
      <c r="Z94" s="1" t="s">
        <v>17</v>
      </c>
      <c r="AA94" s="1" t="s">
        <v>220</v>
      </c>
      <c r="AB94" s="1" t="s">
        <v>142</v>
      </c>
    </row>
    <row r="95" spans="24:28" x14ac:dyDescent="0.25">
      <c r="X95" s="1" t="str">
        <f t="shared" si="1"/>
        <v>RAVAGLI François</v>
      </c>
      <c r="Y95" s="1">
        <v>112364</v>
      </c>
      <c r="Z95" s="1" t="s">
        <v>33</v>
      </c>
      <c r="AA95" s="1" t="s">
        <v>221</v>
      </c>
      <c r="AB95" s="1" t="s">
        <v>161</v>
      </c>
    </row>
    <row r="96" spans="24:28" x14ac:dyDescent="0.25">
      <c r="X96" s="1" t="str">
        <f t="shared" si="1"/>
        <v>LEMONT Sylvain</v>
      </c>
      <c r="Y96" s="1">
        <v>14869</v>
      </c>
      <c r="Z96" s="1" t="s">
        <v>40</v>
      </c>
      <c r="AA96" s="1" t="s">
        <v>222</v>
      </c>
      <c r="AB96" s="1" t="s">
        <v>193</v>
      </c>
    </row>
    <row r="97" spans="24:28" x14ac:dyDescent="0.25">
      <c r="X97" s="1" t="str">
        <f t="shared" si="1"/>
        <v>POIROT Dominique</v>
      </c>
      <c r="Y97" s="1">
        <v>119612</v>
      </c>
      <c r="Z97" s="1" t="s">
        <v>43</v>
      </c>
      <c r="AA97" s="1" t="s">
        <v>223</v>
      </c>
      <c r="AB97" s="1" t="s">
        <v>142</v>
      </c>
    </row>
    <row r="98" spans="24:28" x14ac:dyDescent="0.25">
      <c r="X98" s="1" t="str">
        <f t="shared" si="1"/>
        <v>TRITZ Herve</v>
      </c>
      <c r="Y98" s="1">
        <v>162632</v>
      </c>
      <c r="Z98" s="1" t="s">
        <v>47</v>
      </c>
      <c r="AA98" s="1" t="s">
        <v>224</v>
      </c>
      <c r="AB98" s="1" t="s">
        <v>149</v>
      </c>
    </row>
    <row r="99" spans="24:28" x14ac:dyDescent="0.25">
      <c r="X99" s="1" t="str">
        <f t="shared" si="1"/>
        <v>BELLET Alain</v>
      </c>
      <c r="Y99" s="1">
        <v>15151</v>
      </c>
      <c r="Z99" s="1" t="s">
        <v>0</v>
      </c>
      <c r="AA99" s="1" t="s">
        <v>225</v>
      </c>
      <c r="AB99" s="1" t="s">
        <v>138</v>
      </c>
    </row>
    <row r="100" spans="24:28" x14ac:dyDescent="0.25">
      <c r="X100" s="1" t="str">
        <f t="shared" si="1"/>
        <v>KAISER Guillaume</v>
      </c>
      <c r="Y100" s="1">
        <v>104574</v>
      </c>
      <c r="Z100" s="1" t="s">
        <v>53</v>
      </c>
      <c r="AA100" s="1" t="s">
        <v>226</v>
      </c>
      <c r="AB100" s="1" t="s">
        <v>163</v>
      </c>
    </row>
    <row r="101" spans="24:28" x14ac:dyDescent="0.25">
      <c r="X101" s="1" t="str">
        <f t="shared" si="1"/>
        <v>OSWALD Raymond</v>
      </c>
      <c r="Y101" s="1">
        <v>15354</v>
      </c>
      <c r="Z101" s="1" t="s">
        <v>55</v>
      </c>
      <c r="AA101" s="1" t="s">
        <v>227</v>
      </c>
      <c r="AB101" s="1" t="s">
        <v>149</v>
      </c>
    </row>
    <row r="102" spans="24:28" x14ac:dyDescent="0.25">
      <c r="X102" s="1" t="str">
        <f t="shared" si="1"/>
        <v>LEGRAND Robert</v>
      </c>
      <c r="Y102" s="1">
        <v>15019</v>
      </c>
      <c r="Z102" s="1" t="s">
        <v>25</v>
      </c>
      <c r="AA102" s="1" t="s">
        <v>228</v>
      </c>
      <c r="AB102" s="1" t="s">
        <v>151</v>
      </c>
    </row>
    <row r="103" spans="24:28" x14ac:dyDescent="0.25">
      <c r="X103" s="1" t="str">
        <f t="shared" si="1"/>
        <v>CAMPOLI Jean louis</v>
      </c>
      <c r="Y103" s="1">
        <v>12715</v>
      </c>
      <c r="Z103" s="1" t="s">
        <v>22</v>
      </c>
      <c r="AA103" s="1" t="s">
        <v>187</v>
      </c>
      <c r="AB103" s="1" t="s">
        <v>142</v>
      </c>
    </row>
    <row r="104" spans="24:28" x14ac:dyDescent="0.25">
      <c r="Y104" s="1" t="s">
        <v>145</v>
      </c>
    </row>
    <row r="105" spans="24:28" x14ac:dyDescent="0.25">
      <c r="Y105" s="1" t="s">
        <v>134</v>
      </c>
      <c r="Z105" s="1" t="s">
        <v>135</v>
      </c>
      <c r="AA105" s="1" t="s">
        <v>136</v>
      </c>
    </row>
    <row r="106" spans="24:28" x14ac:dyDescent="0.25">
      <c r="X106" s="1" t="str">
        <f t="shared" si="1"/>
        <v>FEDERICI Jean</v>
      </c>
      <c r="Y106" s="1">
        <v>14807</v>
      </c>
      <c r="Z106" s="1" t="s">
        <v>9</v>
      </c>
      <c r="AA106" s="1" t="s">
        <v>229</v>
      </c>
      <c r="AB106" s="1" t="s">
        <v>140</v>
      </c>
    </row>
    <row r="107" spans="24:28" x14ac:dyDescent="0.25">
      <c r="X107" s="1" t="str">
        <f t="shared" si="1"/>
        <v>MARCONI Dominique</v>
      </c>
      <c r="Y107" s="1">
        <v>123009</v>
      </c>
      <c r="Z107" s="1" t="s">
        <v>19</v>
      </c>
      <c r="AA107" s="1" t="s">
        <v>230</v>
      </c>
      <c r="AB107" s="1" t="s">
        <v>147</v>
      </c>
    </row>
    <row r="108" spans="24:28" x14ac:dyDescent="0.25">
      <c r="X108" s="1" t="str">
        <f t="shared" si="1"/>
        <v>GEORGES Marcel</v>
      </c>
      <c r="Y108" s="1">
        <v>14808</v>
      </c>
      <c r="Z108" s="1" t="s">
        <v>26</v>
      </c>
      <c r="AA108" s="1" t="s">
        <v>231</v>
      </c>
      <c r="AB108" s="1" t="s">
        <v>140</v>
      </c>
    </row>
    <row r="109" spans="24:28" x14ac:dyDescent="0.25">
      <c r="X109" s="1" t="str">
        <f t="shared" si="1"/>
        <v>FERBACH Jean-Jacques</v>
      </c>
      <c r="Y109" s="1">
        <v>15542</v>
      </c>
      <c r="Z109" s="1" t="s">
        <v>34</v>
      </c>
      <c r="AA109" s="1" t="s">
        <v>232</v>
      </c>
      <c r="AB109" s="1" t="s">
        <v>158</v>
      </c>
    </row>
    <row r="110" spans="24:28" x14ac:dyDescent="0.25">
      <c r="X110" s="1" t="str">
        <f t="shared" si="1"/>
        <v>REININGER Robert</v>
      </c>
      <c r="Y110" s="1">
        <v>15010</v>
      </c>
      <c r="Z110" s="1" t="s">
        <v>18</v>
      </c>
      <c r="AA110" s="1" t="s">
        <v>233</v>
      </c>
      <c r="AB110" s="1" t="s">
        <v>174</v>
      </c>
    </row>
    <row r="111" spans="24:28" x14ac:dyDescent="0.25">
      <c r="Y111" s="1" t="s">
        <v>155</v>
      </c>
    </row>
    <row r="112" spans="24:28" x14ac:dyDescent="0.25">
      <c r="Y112" s="1" t="s">
        <v>134</v>
      </c>
      <c r="Z112" s="1" t="s">
        <v>135</v>
      </c>
      <c r="AA112" s="1" t="s">
        <v>136</v>
      </c>
    </row>
    <row r="113" spans="24:28" x14ac:dyDescent="0.25">
      <c r="X113" s="1" t="str">
        <f t="shared" si="1"/>
        <v>JALABERT Jean-Paul</v>
      </c>
      <c r="Y113" s="1">
        <v>14748</v>
      </c>
      <c r="Z113" s="1" t="s">
        <v>10</v>
      </c>
      <c r="AA113" s="1" t="s">
        <v>234</v>
      </c>
      <c r="AB113" s="1" t="s">
        <v>174</v>
      </c>
    </row>
    <row r="114" spans="24:28" x14ac:dyDescent="0.25">
      <c r="X114" s="1" t="str">
        <f t="shared" si="1"/>
        <v>GEORGES Bertrand</v>
      </c>
      <c r="Y114" s="1">
        <v>15400</v>
      </c>
      <c r="Z114" s="1" t="s">
        <v>7</v>
      </c>
      <c r="AA114" s="1" t="s">
        <v>235</v>
      </c>
      <c r="AB114" s="1" t="s">
        <v>163</v>
      </c>
    </row>
    <row r="115" spans="24:28" x14ac:dyDescent="0.25">
      <c r="X115" s="1" t="str">
        <f t="shared" si="1"/>
        <v>MAILLAT Emmanuel</v>
      </c>
      <c r="Y115" s="1">
        <v>116281</v>
      </c>
      <c r="Z115" s="1" t="s">
        <v>27</v>
      </c>
      <c r="AA115" s="1" t="s">
        <v>236</v>
      </c>
      <c r="AB115" s="1" t="s">
        <v>151</v>
      </c>
    </row>
    <row r="117" spans="24:28" x14ac:dyDescent="0.25">
      <c r="Y117" s="1" t="s">
        <v>237</v>
      </c>
    </row>
    <row r="119" spans="24:28" x14ac:dyDescent="0.25">
      <c r="Y119" s="1" t="s">
        <v>133</v>
      </c>
    </row>
    <row r="120" spans="24:28" x14ac:dyDescent="0.25">
      <c r="Y120" s="1" t="s">
        <v>134</v>
      </c>
      <c r="Z120" s="1" t="s">
        <v>135</v>
      </c>
      <c r="AA120" s="1" t="s">
        <v>136</v>
      </c>
    </row>
    <row r="121" spans="24:28" x14ac:dyDescent="0.25">
      <c r="X121" s="1" t="str">
        <f t="shared" si="1"/>
        <v>KLEIN Christophe</v>
      </c>
      <c r="Y121" s="1">
        <v>15096</v>
      </c>
      <c r="Z121" s="1" t="s">
        <v>11</v>
      </c>
      <c r="AA121" s="1" t="s">
        <v>238</v>
      </c>
      <c r="AB121" s="1" t="s">
        <v>158</v>
      </c>
    </row>
    <row r="122" spans="24:28" x14ac:dyDescent="0.25">
      <c r="X122" s="1" t="str">
        <f t="shared" si="1"/>
        <v>POLEWCZYK Michel</v>
      </c>
      <c r="Y122" s="1">
        <v>14831</v>
      </c>
      <c r="Z122" s="1" t="s">
        <v>20</v>
      </c>
      <c r="AA122" s="1" t="s">
        <v>239</v>
      </c>
      <c r="AB122" s="1" t="s">
        <v>142</v>
      </c>
    </row>
    <row r="123" spans="24:28" x14ac:dyDescent="0.25">
      <c r="X123" s="1" t="str">
        <f t="shared" si="1"/>
        <v>BELLINI Jacques</v>
      </c>
      <c r="Y123" s="1">
        <v>14895</v>
      </c>
      <c r="Z123" s="1" t="s">
        <v>8</v>
      </c>
      <c r="AA123" s="1" t="s">
        <v>240</v>
      </c>
      <c r="AB123" s="1" t="s">
        <v>138</v>
      </c>
    </row>
    <row r="124" spans="24:28" x14ac:dyDescent="0.25">
      <c r="X124" s="1" t="str">
        <f t="shared" si="1"/>
        <v>MATHIS Jean</v>
      </c>
      <c r="Y124" s="1">
        <v>15197</v>
      </c>
      <c r="Z124" s="1" t="s">
        <v>35</v>
      </c>
      <c r="AA124" s="1" t="s">
        <v>241</v>
      </c>
      <c r="AB124" s="1" t="s">
        <v>149</v>
      </c>
    </row>
    <row r="125" spans="24:28" x14ac:dyDescent="0.25">
      <c r="X125" s="1" t="str">
        <f t="shared" si="1"/>
        <v>BELLET Alain</v>
      </c>
      <c r="Y125" s="1">
        <v>15151</v>
      </c>
      <c r="Z125" s="1" t="s">
        <v>0</v>
      </c>
      <c r="AA125" s="1" t="s">
        <v>242</v>
      </c>
      <c r="AB125" s="1" t="s">
        <v>138</v>
      </c>
    </row>
    <row r="126" spans="24:28" x14ac:dyDescent="0.25">
      <c r="X126" s="1" t="str">
        <f t="shared" si="1"/>
        <v>GOUVERNEL Pierre</v>
      </c>
      <c r="Y126" s="1">
        <v>107147</v>
      </c>
      <c r="Z126" s="1" t="s">
        <v>6</v>
      </c>
      <c r="AA126" s="1" t="s">
        <v>243</v>
      </c>
      <c r="AB126" s="1" t="s">
        <v>151</v>
      </c>
    </row>
    <row r="127" spans="24:28" x14ac:dyDescent="0.25">
      <c r="X127" s="1" t="str">
        <f t="shared" si="1"/>
        <v>LEGRAND Robert</v>
      </c>
      <c r="Y127" s="1">
        <v>15019</v>
      </c>
      <c r="Z127" s="1" t="s">
        <v>25</v>
      </c>
      <c r="AA127" s="1" t="s">
        <v>244</v>
      </c>
      <c r="AB127" s="1" t="s">
        <v>151</v>
      </c>
    </row>
    <row r="128" spans="24:28" x14ac:dyDescent="0.25">
      <c r="X128" s="1" t="str">
        <f t="shared" si="1"/>
        <v>MARCONI Dominique</v>
      </c>
      <c r="Y128" s="1">
        <v>123009</v>
      </c>
      <c r="Z128" s="1" t="s">
        <v>19</v>
      </c>
      <c r="AA128" s="1" t="s">
        <v>245</v>
      </c>
      <c r="AB128" s="1" t="s">
        <v>147</v>
      </c>
    </row>
    <row r="129" spans="24:28" x14ac:dyDescent="0.25">
      <c r="X129" s="1" t="str">
        <f t="shared" si="1"/>
        <v>RUZZON Bruno</v>
      </c>
      <c r="Y129" s="1">
        <v>120525</v>
      </c>
      <c r="Z129" s="1" t="s">
        <v>32</v>
      </c>
      <c r="AA129" s="1" t="s">
        <v>246</v>
      </c>
      <c r="AB129" s="1" t="s">
        <v>163</v>
      </c>
    </row>
    <row r="130" spans="24:28" x14ac:dyDescent="0.25">
      <c r="Y130" s="1" t="s">
        <v>145</v>
      </c>
    </row>
    <row r="131" spans="24:28" x14ac:dyDescent="0.25">
      <c r="Y131" s="1" t="s">
        <v>134</v>
      </c>
      <c r="Z131" s="1" t="s">
        <v>135</v>
      </c>
      <c r="AA131" s="1" t="s">
        <v>136</v>
      </c>
    </row>
    <row r="132" spans="24:28" x14ac:dyDescent="0.25">
      <c r="X132" s="1" t="str">
        <f t="shared" ref="X132:X165" si="2">Z132</f>
        <v>FRANCK Pascal</v>
      </c>
      <c r="Y132" s="1">
        <v>14742</v>
      </c>
      <c r="Z132" s="1" t="s">
        <v>12</v>
      </c>
      <c r="AA132" s="1" t="s">
        <v>247</v>
      </c>
      <c r="AB132" s="1" t="s">
        <v>142</v>
      </c>
    </row>
    <row r="133" spans="24:28" x14ac:dyDescent="0.25">
      <c r="X133" s="1" t="str">
        <f t="shared" si="2"/>
        <v>LECLERC Philippe</v>
      </c>
      <c r="Y133" s="1">
        <v>119610</v>
      </c>
      <c r="Z133" s="1" t="s">
        <v>21</v>
      </c>
      <c r="AA133" s="1" t="s">
        <v>248</v>
      </c>
      <c r="AB133" s="1" t="s">
        <v>151</v>
      </c>
    </row>
    <row r="134" spans="24:28" x14ac:dyDescent="0.25">
      <c r="X134" s="1" t="str">
        <f t="shared" si="2"/>
        <v>BORRACCINO Michel</v>
      </c>
      <c r="Y134" s="1">
        <v>14821</v>
      </c>
      <c r="Z134" s="1" t="s">
        <v>2</v>
      </c>
      <c r="AA134" s="1" t="s">
        <v>249</v>
      </c>
      <c r="AB134" s="1" t="s">
        <v>140</v>
      </c>
    </row>
    <row r="135" spans="24:28" x14ac:dyDescent="0.25">
      <c r="X135" s="1" t="str">
        <f t="shared" si="2"/>
        <v>MALVAREZ Jean</v>
      </c>
      <c r="Y135" s="1">
        <v>102806</v>
      </c>
      <c r="Z135" s="1" t="s">
        <v>36</v>
      </c>
      <c r="AA135" s="1" t="s">
        <v>162</v>
      </c>
      <c r="AB135" s="1" t="s">
        <v>163</v>
      </c>
    </row>
    <row r="136" spans="24:28" x14ac:dyDescent="0.25">
      <c r="X136" s="1" t="str">
        <f t="shared" si="2"/>
        <v>RAVAGLI François</v>
      </c>
      <c r="Y136" s="1">
        <v>112364</v>
      </c>
      <c r="Z136" s="1" t="s">
        <v>33</v>
      </c>
      <c r="AA136" s="1" t="s">
        <v>250</v>
      </c>
      <c r="AB136" s="1" t="s">
        <v>161</v>
      </c>
    </row>
    <row r="137" spans="24:28" x14ac:dyDescent="0.25">
      <c r="X137" s="1" t="str">
        <f t="shared" si="2"/>
        <v>BONNEFOY Joel</v>
      </c>
      <c r="Y137" s="1">
        <v>156198</v>
      </c>
      <c r="Z137" s="1" t="s">
        <v>1</v>
      </c>
      <c r="AA137" s="1" t="s">
        <v>251</v>
      </c>
      <c r="AB137" s="1" t="s">
        <v>149</v>
      </c>
    </row>
    <row r="138" spans="24:28" x14ac:dyDescent="0.25">
      <c r="X138" s="1" t="str">
        <f t="shared" si="2"/>
        <v>GEORGES Marcel</v>
      </c>
      <c r="Y138" s="1">
        <v>14808</v>
      </c>
      <c r="Z138" s="1" t="s">
        <v>26</v>
      </c>
      <c r="AA138" s="1" t="s">
        <v>252</v>
      </c>
      <c r="AB138" s="1" t="s">
        <v>140</v>
      </c>
    </row>
    <row r="139" spans="24:28" x14ac:dyDescent="0.25">
      <c r="X139" s="1" t="str">
        <f t="shared" si="2"/>
        <v>SCHOEPP Romain</v>
      </c>
      <c r="Y139" s="1">
        <v>14779</v>
      </c>
      <c r="Z139" s="1" t="s">
        <v>51</v>
      </c>
      <c r="AA139" s="1" t="s">
        <v>253</v>
      </c>
      <c r="AB139" s="1" t="s">
        <v>142</v>
      </c>
    </row>
    <row r="140" spans="24:28" x14ac:dyDescent="0.25">
      <c r="X140" s="1" t="str">
        <f t="shared" si="2"/>
        <v>DALLA TORRE Gérard</v>
      </c>
      <c r="Y140" s="1">
        <v>14817</v>
      </c>
      <c r="Z140" s="1" t="s">
        <v>28</v>
      </c>
      <c r="AA140" s="1" t="s">
        <v>202</v>
      </c>
      <c r="AB140" s="1" t="s">
        <v>151</v>
      </c>
    </row>
    <row r="141" spans="24:28" x14ac:dyDescent="0.25">
      <c r="X141" s="1" t="str">
        <f t="shared" si="2"/>
        <v>POIROT Dominique</v>
      </c>
      <c r="Y141" s="1">
        <v>119612</v>
      </c>
      <c r="Z141" s="1" t="s">
        <v>43</v>
      </c>
      <c r="AA141" s="1" t="s">
        <v>254</v>
      </c>
      <c r="AB141" s="1" t="s">
        <v>142</v>
      </c>
    </row>
    <row r="142" spans="24:28" x14ac:dyDescent="0.25">
      <c r="X142" s="1" t="str">
        <f t="shared" si="2"/>
        <v>BOURY Bernard</v>
      </c>
      <c r="Y142" s="1">
        <v>119615</v>
      </c>
      <c r="Z142" s="1" t="s">
        <v>50</v>
      </c>
      <c r="AA142" s="1" t="s">
        <v>255</v>
      </c>
      <c r="AB142" s="1" t="s">
        <v>140</v>
      </c>
    </row>
    <row r="143" spans="24:28" x14ac:dyDescent="0.25">
      <c r="X143" s="1" t="str">
        <f t="shared" si="2"/>
        <v>DAL CORTIVO Paul</v>
      </c>
      <c r="Y143" s="1">
        <v>12884</v>
      </c>
      <c r="Z143" s="1" t="s">
        <v>23</v>
      </c>
      <c r="AA143" s="1" t="s">
        <v>256</v>
      </c>
      <c r="AB143" s="1" t="s">
        <v>151</v>
      </c>
    </row>
    <row r="144" spans="24:28" x14ac:dyDescent="0.25">
      <c r="X144" s="1" t="str">
        <f t="shared" si="2"/>
        <v>DI LEO François</v>
      </c>
      <c r="Y144" s="1">
        <v>102783</v>
      </c>
      <c r="Z144" s="1" t="s">
        <v>58</v>
      </c>
      <c r="AA144" s="1" t="s">
        <v>257</v>
      </c>
      <c r="AB144" s="1" t="s">
        <v>174</v>
      </c>
    </row>
    <row r="145" spans="24:28" x14ac:dyDescent="0.25">
      <c r="X145" s="1" t="str">
        <f t="shared" si="2"/>
        <v>CLAUSS Frédéric</v>
      </c>
      <c r="Y145" s="1">
        <v>150579</v>
      </c>
      <c r="Z145" s="1" t="s">
        <v>14</v>
      </c>
      <c r="AA145" s="1" t="s">
        <v>187</v>
      </c>
      <c r="AB145" s="1" t="s">
        <v>142</v>
      </c>
    </row>
    <row r="146" spans="24:28" x14ac:dyDescent="0.25">
      <c r="X146" s="1" t="str">
        <f t="shared" si="2"/>
        <v>GEORGES Bertrand</v>
      </c>
      <c r="Y146" s="1">
        <v>15400</v>
      </c>
      <c r="Z146" s="1" t="s">
        <v>7</v>
      </c>
      <c r="AA146" s="1" t="s">
        <v>187</v>
      </c>
      <c r="AB146" s="1" t="s">
        <v>163</v>
      </c>
    </row>
    <row r="148" spans="24:28" x14ac:dyDescent="0.25">
      <c r="Y148" s="1" t="s">
        <v>258</v>
      </c>
    </row>
    <row r="150" spans="24:28" x14ac:dyDescent="0.25">
      <c r="Y150" s="1" t="s">
        <v>259</v>
      </c>
    </row>
    <row r="151" spans="24:28" x14ac:dyDescent="0.25">
      <c r="Y151" s="1" t="s">
        <v>134</v>
      </c>
      <c r="Z151" s="1" t="s">
        <v>135</v>
      </c>
      <c r="AA151" s="1" t="s">
        <v>136</v>
      </c>
    </row>
    <row r="152" spans="24:28" x14ac:dyDescent="0.25">
      <c r="X152" s="1" t="str">
        <f t="shared" si="2"/>
        <v>MAILLAT Emmanuel</v>
      </c>
      <c r="Y152" s="1">
        <v>116281</v>
      </c>
      <c r="Z152" s="1" t="s">
        <v>27</v>
      </c>
      <c r="AA152" s="1" t="s">
        <v>260</v>
      </c>
      <c r="AB152" s="1" t="s">
        <v>151</v>
      </c>
    </row>
    <row r="153" spans="24:28" x14ac:dyDescent="0.25">
      <c r="X153" s="1" t="str">
        <f t="shared" si="2"/>
        <v>STORNAIUOLO Francesco</v>
      </c>
      <c r="Y153" s="1">
        <v>154538</v>
      </c>
      <c r="Z153" s="1" t="s">
        <v>261</v>
      </c>
      <c r="AA153" s="1" t="s">
        <v>262</v>
      </c>
      <c r="AB153" s="1" t="s">
        <v>174</v>
      </c>
    </row>
    <row r="154" spans="24:28" x14ac:dyDescent="0.25">
      <c r="X154" s="1" t="str">
        <f t="shared" si="2"/>
        <v>DI LEO François</v>
      </c>
      <c r="Y154" s="1">
        <v>102783</v>
      </c>
      <c r="Z154" s="1" t="s">
        <v>58</v>
      </c>
      <c r="AA154" s="1" t="s">
        <v>263</v>
      </c>
      <c r="AB154" s="1" t="s">
        <v>174</v>
      </c>
    </row>
    <row r="155" spans="24:28" x14ac:dyDescent="0.25">
      <c r="X155" s="1" t="str">
        <f t="shared" si="2"/>
        <v>CORNEO François</v>
      </c>
      <c r="Y155" s="1">
        <v>140782</v>
      </c>
      <c r="Z155" s="1" t="s">
        <v>264</v>
      </c>
      <c r="AA155" s="1" t="s">
        <v>265</v>
      </c>
      <c r="AB155" s="1" t="s">
        <v>174</v>
      </c>
    </row>
    <row r="156" spans="24:28" x14ac:dyDescent="0.25">
      <c r="X156" s="1" t="str">
        <f t="shared" si="2"/>
        <v>JALABERT Jean-Paul</v>
      </c>
      <c r="Y156" s="1">
        <v>14748</v>
      </c>
      <c r="Z156" s="1" t="s">
        <v>10</v>
      </c>
      <c r="AA156" s="1" t="s">
        <v>266</v>
      </c>
      <c r="AB156" s="1" t="s">
        <v>174</v>
      </c>
    </row>
    <row r="158" spans="24:28" x14ac:dyDescent="0.25">
      <c r="Y158" s="1" t="s">
        <v>267</v>
      </c>
    </row>
    <row r="160" spans="24:28" x14ac:dyDescent="0.25">
      <c r="Y160" s="1" t="s">
        <v>259</v>
      </c>
    </row>
    <row r="161" spans="24:28" x14ac:dyDescent="0.25">
      <c r="Y161" s="1" t="s">
        <v>134</v>
      </c>
      <c r="Z161" s="1" t="s">
        <v>135</v>
      </c>
      <c r="AA161" s="1" t="s">
        <v>136</v>
      </c>
    </row>
    <row r="162" spans="24:28" x14ac:dyDescent="0.25">
      <c r="X162" s="1" t="str">
        <f t="shared" si="2"/>
        <v>BEDNAREK Jean-Michel</v>
      </c>
      <c r="Y162" s="1">
        <v>145072</v>
      </c>
      <c r="Z162" s="1" t="s">
        <v>268</v>
      </c>
      <c r="AA162" s="1" t="s">
        <v>269</v>
      </c>
      <c r="AB162" s="1" t="s">
        <v>151</v>
      </c>
    </row>
    <row r="163" spans="24:28" x14ac:dyDescent="0.25">
      <c r="X163" s="1" t="str">
        <f t="shared" si="2"/>
        <v>MAILLAT Emmanuel</v>
      </c>
      <c r="Y163" s="1">
        <v>116281</v>
      </c>
      <c r="Z163" s="1" t="s">
        <v>27</v>
      </c>
      <c r="AA163" s="1" t="s">
        <v>260</v>
      </c>
      <c r="AB163" s="1" t="s">
        <v>151</v>
      </c>
    </row>
    <row r="164" spans="24:28" x14ac:dyDescent="0.25">
      <c r="X164" s="1" t="str">
        <f t="shared" si="2"/>
        <v>STORNAIUOLO Francesco</v>
      </c>
      <c r="Y164" s="1">
        <v>154538</v>
      </c>
      <c r="Z164" s="1" t="s">
        <v>261</v>
      </c>
      <c r="AA164" s="1" t="s">
        <v>262</v>
      </c>
      <c r="AB164" s="1" t="s">
        <v>174</v>
      </c>
    </row>
    <row r="165" spans="24:28" x14ac:dyDescent="0.25">
      <c r="X165" s="1" t="str">
        <f t="shared" si="2"/>
        <v>DI LEO François</v>
      </c>
      <c r="Y165" s="1">
        <v>102783</v>
      </c>
      <c r="Z165" s="1" t="s">
        <v>58</v>
      </c>
      <c r="AA165" s="1" t="s">
        <v>263</v>
      </c>
      <c r="AB165" s="1" t="s">
        <v>174</v>
      </c>
    </row>
  </sheetData>
  <sheetProtection sheet="1" objects="1" scenarios="1"/>
  <sortState ref="Z34:AA44">
    <sortCondition ref="Z34"/>
  </sortState>
  <hyperlinks>
    <hyperlink ref="BF3" r:id="rId1"/>
    <hyperlink ref="BF12" r:id="rId2"/>
    <hyperlink ref="BF13" r:id="rId3"/>
    <hyperlink ref="BF1" r:id="rId4"/>
    <hyperlink ref="BF2" r:id="rId5"/>
    <hyperlink ref="BF4" r:id="rId6"/>
    <hyperlink ref="BF5" r:id="rId7"/>
    <hyperlink ref="BF6" r:id="rId8"/>
    <hyperlink ref="BF9" r:id="rId9"/>
    <hyperlink ref="BF7" r:id="rId10"/>
    <hyperlink ref="BF8" r:id="rId11"/>
    <hyperlink ref="BF10" r:id="rId12"/>
    <hyperlink ref="BF11" r:id="rId13"/>
  </hyperlinks>
  <pageMargins left="0.7" right="0.7" top="0.75" bottom="0.75" header="0.3" footer="0.3"/>
  <pageSetup paperSize="9" orientation="portrait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23</vt:i4>
      </vt:variant>
    </vt:vector>
  </HeadingPairs>
  <TitlesOfParts>
    <vt:vector size="31" baseType="lpstr">
      <vt:lpstr>INSCRIPTION DES JOUEURS</vt:lpstr>
      <vt:lpstr>FEUILLE DE RESULTATS</vt:lpstr>
      <vt:lpstr>CLASSEMENT FINAL</vt:lpstr>
      <vt:lpstr>RESULTAT FFBSPORTIF</vt:lpstr>
      <vt:lpstr>Calc Inscription Joueurs</vt:lpstr>
      <vt:lpstr>Calc Feuille de résultats</vt:lpstr>
      <vt:lpstr>Calc Class</vt:lpstr>
      <vt:lpstr>LISTE</vt:lpstr>
      <vt:lpstr>BandeN3</vt:lpstr>
      <vt:lpstr>BandeR1</vt:lpstr>
      <vt:lpstr>BandeR2</vt:lpstr>
      <vt:lpstr>CadreN3</vt:lpstr>
      <vt:lpstr>CadreR1</vt:lpstr>
      <vt:lpstr>LibreN3</vt:lpstr>
      <vt:lpstr>LibreR1</vt:lpstr>
      <vt:lpstr>LibreR2</vt:lpstr>
      <vt:lpstr>LibreR3</vt:lpstr>
      <vt:lpstr>LibreR4</vt:lpstr>
      <vt:lpstr>listeCategorie</vt:lpstr>
      <vt:lpstr>listeClubs</vt:lpstr>
      <vt:lpstr>ListeJoueursPrevu</vt:lpstr>
      <vt:lpstr>ListePoule</vt:lpstr>
      <vt:lpstr>Poule</vt:lpstr>
      <vt:lpstr>TabBandeN3</vt:lpstr>
      <vt:lpstr>TabDistance</vt:lpstr>
      <vt:lpstr>TabLibreN3</vt:lpstr>
      <vt:lpstr>TabLibreR1</vt:lpstr>
      <vt:lpstr>TabLibreR2</vt:lpstr>
      <vt:lpstr>TroisBandesN3</vt:lpstr>
      <vt:lpstr>TroisBandesR1</vt:lpstr>
      <vt:lpstr>TroisBandesR2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Poirot</dc:creator>
  <cp:lastModifiedBy>Utilisateur Windows</cp:lastModifiedBy>
  <cp:lastPrinted>2025-04-27T06:40:49Z</cp:lastPrinted>
  <dcterms:created xsi:type="dcterms:W3CDTF">2018-01-30T19:30:51Z</dcterms:created>
  <dcterms:modified xsi:type="dcterms:W3CDTF">2025-10-11T09:16:57Z</dcterms:modified>
</cp:coreProperties>
</file>